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030" tabRatio="687" activeTab="0"/>
  </bookViews>
  <sheets>
    <sheet name="NYITÓLAP" sheetId="1" r:id="rId1"/>
    <sheet name="1. ENERGIAFOGYASZTÁS" sheetId="2" r:id="rId2"/>
    <sheet name="2. NAGYIPARI KIBOCSÁTÁS" sheetId="3" r:id="rId3"/>
    <sheet name="3. KÖZLEKEDÉS" sheetId="4" r:id="rId4"/>
    <sheet name="4. MEZŐGAZDASÁG" sheetId="5" r:id="rId5"/>
    <sheet name="5. HULLADÉK" sheetId="6" r:id="rId6"/>
    <sheet name="6. NYELŐK" sheetId="7" r:id="rId7"/>
    <sheet name="ÁTTEKINTŐ" sheetId="8" r:id="rId8"/>
    <sheet name="jegyzetek" sheetId="9" r:id="rId9"/>
    <sheet name="emissziós faktorok" sheetId="10" r:id="rId10"/>
  </sheets>
  <definedNames/>
  <calcPr fullCalcOnLoad="1"/>
</workbook>
</file>

<file path=xl/sharedStrings.xml><?xml version="1.0" encoding="utf-8"?>
<sst xmlns="http://schemas.openxmlformats.org/spreadsheetml/2006/main" count="825" uniqueCount="407">
  <si>
    <t>Tömegközlekedés</t>
  </si>
  <si>
    <t>Összesen</t>
  </si>
  <si>
    <t>egyéb</t>
  </si>
  <si>
    <t>Év</t>
  </si>
  <si>
    <t xml:space="preserve">Összes </t>
  </si>
  <si>
    <t xml:space="preserve">Lakosság részére </t>
  </si>
  <si>
    <t xml:space="preserve">Ipari célra </t>
  </si>
  <si>
    <t>Mezőgaz-dasági célra</t>
  </si>
  <si>
    <t xml:space="preserve">Egyéb célra </t>
  </si>
  <si>
    <t xml:space="preserve">Közvetlen háztartási </t>
  </si>
  <si>
    <t xml:space="preserve">Kommunális </t>
  </si>
  <si>
    <t xml:space="preserve">Ipari </t>
  </si>
  <si>
    <t>Mezőgazdasági</t>
  </si>
  <si>
    <t>Egyéb kategória</t>
  </si>
  <si>
    <t>Önkormányzat</t>
  </si>
  <si>
    <t>Lakosság</t>
  </si>
  <si>
    <t>Közvilágítás</t>
  </si>
  <si>
    <t>Ipar</t>
  </si>
  <si>
    <t>Szolgáltatás</t>
  </si>
  <si>
    <t>Mezőgazdaság</t>
  </si>
  <si>
    <t xml:space="preserve">Közvilágítási célra </t>
  </si>
  <si>
    <t>MWh</t>
  </si>
  <si>
    <t>Földgáz energiatartalma:</t>
  </si>
  <si>
    <t>MJ/m3</t>
  </si>
  <si>
    <t>Lakóépületek központi kazánjai</t>
  </si>
  <si>
    <t xml:space="preserve">Távfűtést ellátó vállalkozások </t>
  </si>
  <si>
    <t>Év:</t>
  </si>
  <si>
    <t>Színkód:</t>
  </si>
  <si>
    <t xml:space="preserve">Kommunális célra </t>
  </si>
  <si>
    <t>Forrás:</t>
  </si>
  <si>
    <t>Főgáz 2016</t>
  </si>
  <si>
    <t>t CO2</t>
  </si>
  <si>
    <t>MÓDSZERTAN</t>
  </si>
  <si>
    <t>KÉRDÉSEK</t>
  </si>
  <si>
    <t>FELADATOK</t>
  </si>
  <si>
    <t>ÖSSZESEN</t>
  </si>
  <si>
    <t>CO2</t>
  </si>
  <si>
    <t>földgáz</t>
  </si>
  <si>
    <t>biomassza</t>
  </si>
  <si>
    <t>Önkormányzat távhőfogyasztása:</t>
  </si>
  <si>
    <t>Lakosságnak szolgáltatott távhő:</t>
  </si>
  <si>
    <t>Iparnak szolgáltatott távhő:</t>
  </si>
  <si>
    <t>Szolgáltató szektornak szolgáltatott távhő:</t>
  </si>
  <si>
    <t>Mezőgazdaságnak szolgáltatott távhő:</t>
  </si>
  <si>
    <t>EMISSZIÓS FAKTOROK</t>
  </si>
  <si>
    <t>villamos energia</t>
  </si>
  <si>
    <t>Frissítve</t>
  </si>
  <si>
    <t>OMSZ</t>
  </si>
  <si>
    <t>Aktualitás</t>
  </si>
  <si>
    <t>https://www.ipcc.ch/publications_and_data/ar4/wg1/en/ch2s2-10-2.html</t>
  </si>
  <si>
    <t>Forrás (CO2)</t>
  </si>
  <si>
    <t>lignit</t>
  </si>
  <si>
    <t>dízel</t>
  </si>
  <si>
    <t>benzin</t>
  </si>
  <si>
    <t>bioüzemanyagok</t>
  </si>
  <si>
    <t>ENERGIA</t>
  </si>
  <si>
    <t xml:space="preserve">milyen arányban használja az alábbi energiaforrásokat a helyi távhőtermelés? </t>
  </si>
  <si>
    <t>geotermia</t>
  </si>
  <si>
    <t>távhő emissziós faktor:</t>
  </si>
  <si>
    <t>t CO2 / MWh</t>
  </si>
  <si>
    <t>távhőrendszer vesztesége:</t>
  </si>
  <si>
    <t>távhő emissziós faktor veszteségek nélkül:</t>
  </si>
  <si>
    <t>helyi távhő emissziós faktor számítás:</t>
  </si>
  <si>
    <t>Az Önkormányzat és KSH által kapott adatok szükségesek, illetve az emissziós faktor fülön a helyi távhőtermeléshez szükségesek adatok, melyekről a helyi távhőtermelőtől kell érdeklődni.</t>
  </si>
  <si>
    <r>
      <t xml:space="preserve">Értékesített gáz </t>
    </r>
    <r>
      <rPr>
        <sz val="10"/>
        <color indexed="40"/>
        <rFont val="Arial"/>
        <family val="2"/>
      </rPr>
      <t>(1000 m3)</t>
    </r>
  </si>
  <si>
    <r>
      <t xml:space="preserve">szolgáltatott villamosenergia mennyisége </t>
    </r>
    <r>
      <rPr>
        <sz val="10"/>
        <color indexed="40"/>
        <rFont val="Arial"/>
        <family val="2"/>
      </rPr>
      <t>(1000 kWh)</t>
    </r>
  </si>
  <si>
    <t>ellenőrizendő, frissítendő adat</t>
  </si>
  <si>
    <t>segítség különböző energiamértékegységek közötti átváltáshoz:</t>
  </si>
  <si>
    <t>https://www.iea.org/statistics/resources/unitconverter/</t>
  </si>
  <si>
    <t>CH4</t>
  </si>
  <si>
    <t>N2O</t>
  </si>
  <si>
    <t>SZÉN-DIOXID</t>
  </si>
  <si>
    <t>METÁN</t>
  </si>
  <si>
    <t>DINITROGÉN-OXID</t>
  </si>
  <si>
    <t>KIBOCSÁTÁS</t>
  </si>
  <si>
    <t>1. ENERGIAFOGYASZTÁS</t>
  </si>
  <si>
    <t>1.1. ÁRAMFOGYASZTÁS KIBOCSÁTÁSA</t>
  </si>
  <si>
    <t>1.3. TÁVHŐFOGYASZTÁS KIBOCSÁTÁSA</t>
  </si>
  <si>
    <t>1.1. Áram</t>
  </si>
  <si>
    <t>1.3. Távhő</t>
  </si>
  <si>
    <t>3. KÖZLEKEDÉS</t>
  </si>
  <si>
    <t>4. MEZŐGAZDASÁG</t>
  </si>
  <si>
    <t>4.1. Állatállomány</t>
  </si>
  <si>
    <t>4.2. Hígtrágya</t>
  </si>
  <si>
    <t>4.3. Szántóföldek</t>
  </si>
  <si>
    <t>5. HULLADÉK</t>
  </si>
  <si>
    <t>NYELÉS</t>
  </si>
  <si>
    <t>ÖSSZES KIBOCSÁTÁS</t>
  </si>
  <si>
    <t>VÉGSŐ KIBOCSÁTÁS</t>
  </si>
  <si>
    <t>Teherszállítás</t>
  </si>
  <si>
    <t>MEZŐGAZDASÁG</t>
  </si>
  <si>
    <t>db</t>
  </si>
  <si>
    <t>Nem tejelő szarvasmarha:</t>
  </si>
  <si>
    <t>Összes sertés:</t>
  </si>
  <si>
    <t>CH4 - CO2e</t>
  </si>
  <si>
    <t>N2O - CO2e</t>
  </si>
  <si>
    <t>szarvasmarha emésztés - tejelő</t>
  </si>
  <si>
    <t>szarvasmarha emésztés - egyéb</t>
  </si>
  <si>
    <t>t CH4 / db</t>
  </si>
  <si>
    <t>SAR:</t>
  </si>
  <si>
    <t>Nemzeti Üvegházgáz Leltár</t>
  </si>
  <si>
    <t>szarvasmarha hígtrágya - tejelő</t>
  </si>
  <si>
    <t>szarvasmarha hígtrágya - egyéb</t>
  </si>
  <si>
    <t>sertés hígtrágya</t>
  </si>
  <si>
    <t>CO2:</t>
  </si>
  <si>
    <t>CH4:</t>
  </si>
  <si>
    <t>N2O:</t>
  </si>
  <si>
    <t>t CO2e / db</t>
  </si>
  <si>
    <t>t N2O / db</t>
  </si>
  <si>
    <t>MINDÖSSZESEN</t>
  </si>
  <si>
    <t>https://www.ksh.hu/docs/hun/xstadat/xstadat_eves/i_omf003.html</t>
  </si>
  <si>
    <t>ezer ha</t>
  </si>
  <si>
    <t>Település szántóterület, egyéni gazdaságok:</t>
  </si>
  <si>
    <t>m2</t>
  </si>
  <si>
    <t>Település szántóterület, gazdasági szervezetek:</t>
  </si>
  <si>
    <t>Település összes szántóterület:</t>
  </si>
  <si>
    <t>Településre kijuttatott trágya:</t>
  </si>
  <si>
    <t>tonna</t>
  </si>
  <si>
    <t>trágya (mű- és szerves trágya) N2O</t>
  </si>
  <si>
    <t>t CO2e / t trágya</t>
  </si>
  <si>
    <t>HULLADÉK</t>
  </si>
  <si>
    <t>hulladéklerakás</t>
  </si>
  <si>
    <t>t CH4 / t hull.</t>
  </si>
  <si>
    <t>t CO2e / t hull</t>
  </si>
  <si>
    <t>Az adatokat a KSH-tól kell kérelmezni. A KSH-tól kapott adatok változtatás nélkül bemásolhatók.</t>
  </si>
  <si>
    <t>egyéb energiaforrás emissziós faktora:</t>
  </si>
  <si>
    <t>(táv)hőtermelés hatásfoka:</t>
  </si>
  <si>
    <t>2.2. KÜLÖNÖSEN SZENNYEZŐ IPARI FOLYAMATOK KIBOCSÁTÁSAI</t>
  </si>
  <si>
    <t>barnaszén</t>
  </si>
  <si>
    <t>Nemzeti ÜHG leltár</t>
  </si>
  <si>
    <t>biogáz</t>
  </si>
  <si>
    <t>ha az erőmű áramot is termel, az éves összes energiatermelés mekkora aránya hőenergia: (ha csak hőt termel, az érték legyen 100%).</t>
  </si>
  <si>
    <t>hulladék</t>
  </si>
  <si>
    <t>Ha a helyi távhőmű csak földgázt használ, akkor az emisszió nulla lesz, hiszen az már elszámolásra került a gázfogyasztásnál.</t>
  </si>
  <si>
    <t>Forrás</t>
  </si>
  <si>
    <t>A 2010-es települési állatállomány adatok megtalálhatók a KSH oldalán:</t>
  </si>
  <si>
    <t>http://www.ksh.hu/docs/hun/xftp/idoszaki/foldhaszn/foldhaszn1022.xls</t>
  </si>
  <si>
    <t>Összes szarvasmarha:</t>
  </si>
  <si>
    <t>képletet tartalmaz, ne írjon bele!</t>
  </si>
  <si>
    <t>kitöltési segédlet</t>
  </si>
  <si>
    <t>automatikus eredmény, ne írjon bele!</t>
  </si>
  <si>
    <t>automatikus eredmény, az Áttekintőbe kerül, ne írjon bele!</t>
  </si>
  <si>
    <t>ha</t>
  </si>
  <si>
    <t>Megyei szántóterület:</t>
  </si>
  <si>
    <t>A megyei szántóterület nagysága innen elérhető:</t>
  </si>
  <si>
    <t>Települési adatok forrása: KSH éves településstatisztikai adatok 2015-ös településszerkezetben:</t>
  </si>
  <si>
    <t>http://statinfo.ksh.hu/Statinfo/themeSelector.jsp?page=2&amp;szst=T</t>
  </si>
  <si>
    <t>ÜHG LELTÁR</t>
  </si>
  <si>
    <t>Szennyvízkezelés</t>
  </si>
  <si>
    <t>Országos kibocsátás:</t>
  </si>
  <si>
    <t>Ország népessége:</t>
  </si>
  <si>
    <t>fő</t>
  </si>
  <si>
    <t>Település népessége:</t>
  </si>
  <si>
    <t>Település kibocsátása:</t>
  </si>
  <si>
    <t>5. HULLADÉKKEZELÉS</t>
  </si>
  <si>
    <t>5.1. SZILÁRD HULLADÉKKEZELÉS</t>
  </si>
  <si>
    <t>5.2. SZENNYVÍZKEZELÉS</t>
  </si>
  <si>
    <t>saját számítás NÜL alapján</t>
  </si>
  <si>
    <t>helyi távhő emissziós faktor (lenti kalkulátor alapján):</t>
  </si>
  <si>
    <t>Önkormányzat tűzifafogyasztása:</t>
  </si>
  <si>
    <t>Az Önkormányzati tűzifafogyasztást az Önkormányzati számlák, energia-adatbázis alapján becsülhető meg.</t>
  </si>
  <si>
    <t xml:space="preserve">A lakossági tűzifafogyasztáshoz az alábbi oldalon, bal lent a megye kiválasztása után a következő táblát kell megnyitni: </t>
  </si>
  <si>
    <t>2.3.3.2</t>
  </si>
  <si>
    <t>A lakott lakások szobaszám és konyhával való ellátottság, valamint tulajdonjelleg, komfortosság, fűtési mód és fűtőanyag szerint, 2011</t>
  </si>
  <si>
    <t>http://www.ksh.hu/nepszamlalas/reszletes_tablak</t>
  </si>
  <si>
    <t>db lakás</t>
  </si>
  <si>
    <t>cella:</t>
  </si>
  <si>
    <t>mutató:</t>
  </si>
  <si>
    <t>érték:</t>
  </si>
  <si>
    <t>mértékegység:</t>
  </si>
  <si>
    <t>K50</t>
  </si>
  <si>
    <t>K23</t>
  </si>
  <si>
    <t>gázzal és fával:</t>
  </si>
  <si>
    <t>szénnel és fával:</t>
  </si>
  <si>
    <t>konvektoros/kályhás fűtés fával:</t>
  </si>
  <si>
    <t>cirkós/kazános fűtés fával:</t>
  </si>
  <si>
    <t>K30</t>
  </si>
  <si>
    <t>K31</t>
  </si>
  <si>
    <t>K37</t>
  </si>
  <si>
    <t>K44</t>
  </si>
  <si>
    <t>K45</t>
  </si>
  <si>
    <t>1.4. ÖNKORMÁNYZATI ÉS LAKOSSÁGI TŰZIFA- ÉS SZÉNFOGYASZTÁS KIBOCSÁTÁSA</t>
  </si>
  <si>
    <t>Önkormányzat szénfogyasztása:</t>
  </si>
  <si>
    <t>lakossági tűzifa- és szénfogyasztás (adatok a megyei 2.3.3.2.  KSH táblából):</t>
  </si>
  <si>
    <t>szénnel:</t>
  </si>
  <si>
    <t>Átlagos lakás évi tűzifafogyasztása:</t>
  </si>
  <si>
    <t>K24</t>
  </si>
  <si>
    <t>K38</t>
  </si>
  <si>
    <t>Átlagos lakás évi szénfogyasztása:</t>
  </si>
  <si>
    <t>Tonnánkénti fa energiatartalma:</t>
  </si>
  <si>
    <t>MWh/t</t>
  </si>
  <si>
    <t>Tonnánkénti szén átlagos energiatartalma:</t>
  </si>
  <si>
    <t>tonna/év</t>
  </si>
  <si>
    <t>összes megyei lakás:</t>
  </si>
  <si>
    <t>összes települési lakás:</t>
  </si>
  <si>
    <t>(területi adat)</t>
  </si>
  <si>
    <t>becsült települési lakossági tűzifafelhasználás:</t>
  </si>
  <si>
    <t>becsült települési lakossági szénfelhasználás:</t>
  </si>
  <si>
    <t>1.4. Szén és tűzifa</t>
  </si>
  <si>
    <t>5.1. Szilárd hulladékkezelés</t>
  </si>
  <si>
    <t>5.2. Szennyvízkezelés</t>
  </si>
  <si>
    <t>ÜVEGHÁZGÁZ LELTÁR</t>
  </si>
  <si>
    <t>http://statinfo.ksh.hu/Statinfo/themeSelector.jsp?page=2&amp;szst=ZRK</t>
  </si>
  <si>
    <t>Az adatok a KSH-tól kérelmezhetők vagy az alábbi linken megatlálhatók (gázellátás), a települési lekérdezés után változtatás nélkül az alábbi táblába bemásolhatók.</t>
  </si>
  <si>
    <t>KÖZLEKEDÉS</t>
  </si>
  <si>
    <t>VÁROS</t>
  </si>
  <si>
    <t>Települési hulladékgazdálkodási adatok elérhetők innen:</t>
  </si>
  <si>
    <t>http://statinfo.ksh.hu/Statinfo/themeSelector.jsp?page=2&amp;szst=UR</t>
  </si>
  <si>
    <t>Műszaki védelemmel ellátott lerakókban elhelyezett szilárd hulladék:</t>
  </si>
  <si>
    <t>6.1. ERDŐK</t>
  </si>
  <si>
    <t>6. NYELŐK</t>
  </si>
  <si>
    <t>település erdőterületei</t>
  </si>
  <si>
    <t>6. Nyelők</t>
  </si>
  <si>
    <t>kWh/l</t>
  </si>
  <si>
    <t>bekeverési arányok:</t>
  </si>
  <si>
    <t>fogyasztás (liter)</t>
  </si>
  <si>
    <t>energiatartalom</t>
  </si>
  <si>
    <t>bioüzemanyag-tartalom</t>
  </si>
  <si>
    <t>személygépkocsi</t>
  </si>
  <si>
    <t>tehergépkocsi</t>
  </si>
  <si>
    <t>autóbusz</t>
  </si>
  <si>
    <t>Budapesti Agglomeráció települése? (0 - nem, 1 - igen)</t>
  </si>
  <si>
    <t>perc</t>
  </si>
  <si>
    <t>a településen regisztrált benzinüzemű személygépkocsik száma</t>
  </si>
  <si>
    <t>a településen regisztrált gázolajüzemű (dízel) személygépkocsik száma</t>
  </si>
  <si>
    <t>közút száma</t>
  </si>
  <si>
    <t>kezdő szelvény</t>
  </si>
  <si>
    <t>végszelvény</t>
  </si>
  <si>
    <t>szakaszhossz</t>
  </si>
  <si>
    <t>a település megyéjében regisztrált benzinüzemű személygépkocsik száma</t>
  </si>
  <si>
    <t>a település megyéjében regisztrált gázolajüzemű (dízel) személygépkocsik száma</t>
  </si>
  <si>
    <t>km</t>
  </si>
  <si>
    <t>korrekciós tényező</t>
  </si>
  <si>
    <t>kistehergépkocsi</t>
  </si>
  <si>
    <t>közepes nehéz tgk.</t>
  </si>
  <si>
    <t>nehéz tgk.</t>
  </si>
  <si>
    <t>pótkocsis tgk.</t>
  </si>
  <si>
    <t>nyerges tgk.</t>
  </si>
  <si>
    <t>speciális</t>
  </si>
  <si>
    <t>lassú jármű</t>
  </si>
  <si>
    <t>egyes autóbusz</t>
  </si>
  <si>
    <t>csuklós autóbusz</t>
  </si>
  <si>
    <t>autóbusz összesen</t>
  </si>
  <si>
    <t>NYELŐK</t>
  </si>
  <si>
    <t>erdőterület</t>
  </si>
  <si>
    <t>t CO2/év/ha</t>
  </si>
  <si>
    <t>Nemzeti Alkalmazkodási Központ Módszertana</t>
  </si>
  <si>
    <t>Forrás: saját adat vagy https://www.teir.hu/rqdist/main?rq_app=meta&amp;rq_proc=strfr&amp;dbid=46&amp;ev=2012</t>
  </si>
  <si>
    <t>NAGYIPAR NÉLKÜL</t>
  </si>
  <si>
    <t>Lakosság tűzifafogyasztása (automatikusan jobboldali számítás alapján, vagy saját adat beírható):</t>
  </si>
  <si>
    <t>Lakosság szénfogyasztása (automatikusan jobboldali számítás alapján, vagy saját adat beírható):</t>
  </si>
  <si>
    <t>2. NAGYIPARI KIBOCSÁTÁS</t>
  </si>
  <si>
    <t>Kitöltés a segédlet alapján az ETS adatbázis használatával, az egyes üzemekkel való kapcsolatfelvétel alapján.</t>
  </si>
  <si>
    <t>A helyi, nagyobb kibocsátású ipari létesítmények (erőműveket ne!) leválogathatók az ETS adatbázisból:</t>
  </si>
  <si>
    <t>http://ec.europa.eu/environment/ets/napInstallationInformation.do?registryName=Hungary&amp;napId=19734&amp;allowancesForReserve=3070472&amp;action=napHistoryParams&amp;commitmentPeriodCode=2&amp;commitmentPeriodDesc=Phase+3+%282013-2020%29&amp;allowancesForOperators=82397175</t>
  </si>
  <si>
    <t>Vagy a teljes táblázat letölthető innen (Excelben megnyitható):</t>
  </si>
  <si>
    <t>http://ec.europa.eu/environment/ets/exportEntry.do?languageCode=en&amp;registryName=Hungary&amp;napId=19734&amp;allowancesForReserve=3070472&amp;form=napInstallationInformation&amp;commitmentPeriod=Phase+3+2013-2020&amp;registry=Hungary&amp;commitmentPeriodCode=2&amp;currentSortSettings=&amp;allowancesForOperators=82397175&amp;commitmentPeriodDesc=Phase+3+2013-2020&amp;exportType=1&amp;exportAction=napInstallationInformation&amp;exportOK=exportOK</t>
  </si>
  <si>
    <t>2.1. EGYÉB IPARI ENERGIAHORDOZÓ-FELHASZNÁLÁS KIBOCSÁTÁSA</t>
  </si>
  <si>
    <t>Figyelem! A gáz- és áramfogyasztáshoz kötődő ipari kibocsátások már el lettek számolva az 1. Energiafogyasztás lapon!</t>
  </si>
  <si>
    <t>Például: ipari biomassza-tüzelés, széntüzelés, dízelfogyasztás stb.</t>
  </si>
  <si>
    <t>üzem neve:</t>
  </si>
  <si>
    <t>megjegyzés:</t>
  </si>
  <si>
    <t>kibocsátás:</t>
  </si>
  <si>
    <t>Különösen szennyező ipari kibocsátások, amelyek nem energiafelhasználáshoz köthetők, hanem ipari folyamatokból kerülnek a légkörbe.</t>
  </si>
  <si>
    <t>Például: cementgyártás, kerámiagyártás, vegyipar stb.</t>
  </si>
  <si>
    <t>IPCC</t>
  </si>
  <si>
    <t>átlagos fogyasztás (l /100 km) benzin</t>
  </si>
  <si>
    <t>átlagos fogyasztás (l /100 km) dízel</t>
  </si>
  <si>
    <t>Személygépkocsi</t>
  </si>
  <si>
    <t>Kis tehergépkocsi</t>
  </si>
  <si>
    <t>Autóbusz egyes</t>
  </si>
  <si>
    <t>Autóbusz csuklós</t>
  </si>
  <si>
    <t>Tehergépkocsi közepesen nehéz</t>
  </si>
  <si>
    <t>Tehergépkocsi nehéz</t>
  </si>
  <si>
    <t>Tehergépkocsi pótkocsis</t>
  </si>
  <si>
    <t>Tehergépkocsi nyerges</t>
  </si>
  <si>
    <t>Tehergépkocsi speciális</t>
  </si>
  <si>
    <t>Motorkerékpár</t>
  </si>
  <si>
    <t>Lassú jármű</t>
  </si>
  <si>
    <t>NKS</t>
  </si>
  <si>
    <t>4.1. KÉRŐDZŐK KIBOCSÁTÁSA</t>
  </si>
  <si>
    <t>4.2. HÍGTRÁGYA-EMISSZIÓ</t>
  </si>
  <si>
    <t>4.3. SZERVES- ÉS MŰTRÁGYA-EMISSZIÓ</t>
  </si>
  <si>
    <t>baromfi hígtrágya</t>
  </si>
  <si>
    <t>Tyúk:</t>
  </si>
  <si>
    <t>Kacsa:</t>
  </si>
  <si>
    <t>Lúd:</t>
  </si>
  <si>
    <t>Pulyka:</t>
  </si>
  <si>
    <t>Összes baromfi:</t>
  </si>
  <si>
    <t>energiatartalom:</t>
  </si>
  <si>
    <t>MWh/liter</t>
  </si>
  <si>
    <t>Egyéni közlekedés</t>
  </si>
  <si>
    <t>korrekciós tényezővel csökkentve</t>
  </si>
  <si>
    <t>jműkm / év</t>
  </si>
  <si>
    <t>3.3 A TELEPÜLÉSRE ESŐ ÁLLAMI UTAK FORGALMA (3. TÉNYEZŐ)</t>
  </si>
  <si>
    <t>motorkerékpár</t>
  </si>
  <si>
    <t>KÖZLEKEDÉS KALKULÁTOR</t>
  </si>
  <si>
    <t>nehéz tgk összesen</t>
  </si>
  <si>
    <t>járműszerelvények összesen</t>
  </si>
  <si>
    <t>szgk km/nap</t>
  </si>
  <si>
    <t>kis tgk km/nap</t>
  </si>
  <si>
    <t>autóbusz km/nap</t>
  </si>
  <si>
    <t>nehéz tgk km/nap</t>
  </si>
  <si>
    <t>szerelvény km/nap</t>
  </si>
  <si>
    <t>motor km/nap</t>
  </si>
  <si>
    <t>összes járműkm</t>
  </si>
  <si>
    <t>járműkm</t>
  </si>
  <si>
    <t>felhasznált üzemanyag (liter):</t>
  </si>
  <si>
    <t>a településen belül megtett napi út hossza</t>
  </si>
  <si>
    <t>a helyben dolgozók benzinüzemű járművei által a településen belül megtett éves úthossz</t>
  </si>
  <si>
    <t>a helyben dolgozók dízelüzemű járművei által a településen belül megtett éves úthossz</t>
  </si>
  <si>
    <t>a településen belül, nem állami úton megtett napi út hossza</t>
  </si>
  <si>
    <t>az ingázók által a településen belül, nem állami úton, a benzinüzemű járművek által megtett éves úthossz</t>
  </si>
  <si>
    <t>az ingázók által a településen belül a dízelüzemű járművek által nem állami úton megtett éves úthossz</t>
  </si>
  <si>
    <t>állami útra eső évesített forgalmi adatok</t>
  </si>
  <si>
    <t>személygépkocsi benzin</t>
  </si>
  <si>
    <t>személygépkocsi dízel</t>
  </si>
  <si>
    <t>kis tehergépkocsi</t>
  </si>
  <si>
    <t>járműszerelvény</t>
  </si>
  <si>
    <t>helyi kezelésű utak éves autóbuszforgalma</t>
  </si>
  <si>
    <t>helyi lakos, helyben utazása (személygépkocsi)</t>
  </si>
  <si>
    <t>helyi ingázó lakos, helyi útra eső utazása (szgk)</t>
  </si>
  <si>
    <t>áll. út benzines személygépkocsi + motorkerékpár</t>
  </si>
  <si>
    <t>áll. út dízeles személygépkocsi</t>
  </si>
  <si>
    <t>áll út autóbusz</t>
  </si>
  <si>
    <t>áll. út tgk</t>
  </si>
  <si>
    <t>helyi utak autóbusz forgalma</t>
  </si>
  <si>
    <t>dízel fogyasztás összesen:</t>
  </si>
  <si>
    <t>emissziós faktor:</t>
  </si>
  <si>
    <t>benzin fogyasztás összesen:</t>
  </si>
  <si>
    <t>kézzel beírandó - csak ide írjon!</t>
  </si>
  <si>
    <t>1.ENERGIAFOGYASZTÁS KIBOCSÁTÁSA</t>
  </si>
  <si>
    <t>SZÉN-DIOXID EGYENÉRÉK</t>
  </si>
  <si>
    <t>1.2. Földgáz</t>
  </si>
  <si>
    <t>1.2. FÖLDGÁZFOGYASZTÁS KIBOCSÁTÁSA</t>
  </si>
  <si>
    <t>2.1. Egyéb ipari energiafogysztás</t>
  </si>
  <si>
    <t>2.2. Ipari folyamatok</t>
  </si>
  <si>
    <t>3.2 HELYI, INGÁZÓ LAKOSOK SAJÁT TELEPÜLÉSÜK NEM ÁLLAMI ÚTSZAKASZÁRA ESŐ SZGK-IK UTAZÁSAI (2. TÉNYEZŐ)</t>
  </si>
  <si>
    <t>3.1. Helyi közlekedés</t>
  </si>
  <si>
    <t>3.2. Ingázás</t>
  </si>
  <si>
    <t>3.3. Állami utak</t>
  </si>
  <si>
    <t>A települési lakott lakások száma az alábbi táblából érhető el:</t>
  </si>
  <si>
    <t>4.3.1.1</t>
  </si>
  <si>
    <t>A lakóegységek rendeltetése és lakóik, 2011</t>
  </si>
  <si>
    <t>Forrás: Nemzeti Üvegházgáz Leltár, 2014-es adat</t>
  </si>
  <si>
    <t>Város:</t>
  </si>
  <si>
    <t>Készítette:</t>
  </si>
  <si>
    <t>Elérhetőség:</t>
  </si>
  <si>
    <t>állami utak közig. területre eső szakaszhossza (km)</t>
  </si>
  <si>
    <t>állami utak közig. területre eső összegzett hossza</t>
  </si>
  <si>
    <t>3.1 TELEPÜLÉSEN BELÜLI, HELYI, EGYÉNI UTAZÁSOK (1. TÉNYEZŐ)</t>
  </si>
  <si>
    <t>Tehén:</t>
  </si>
  <si>
    <t>http://statinfo.ksh.hu/Statinfo/haDetails.jsp</t>
  </si>
  <si>
    <r>
      <t xml:space="preserve">Megyében felhasznált istállótrágya, vagy szervestrágya mennyisége </t>
    </r>
    <r>
      <rPr>
        <i/>
        <sz val="10"/>
        <rFont val="Arial"/>
        <family val="2"/>
      </rPr>
      <t>(bázisévtől függően)</t>
    </r>
  </si>
  <si>
    <t>Megyében felhasznált összes műtrágya mennyisége</t>
  </si>
  <si>
    <t>Megyében kijuttatott összes trágya mennyisége:</t>
  </si>
  <si>
    <t>6.2. TELEPÜLÉSI ZÖLDTERÜLETEK</t>
  </si>
  <si>
    <t>települési zöldterületek</t>
  </si>
  <si>
    <t>zöldterület</t>
  </si>
  <si>
    <r>
      <t>t CO</t>
    </r>
    <r>
      <rPr>
        <b/>
        <vertAlign val="subscript"/>
        <sz val="10"/>
        <rFont val="Arial"/>
        <family val="2"/>
      </rPr>
      <t>2</t>
    </r>
  </si>
  <si>
    <r>
      <t>t CO</t>
    </r>
    <r>
      <rPr>
        <vertAlign val="subscript"/>
        <sz val="10"/>
        <rFont val="Arial"/>
        <family val="2"/>
      </rPr>
      <t>2</t>
    </r>
  </si>
  <si>
    <t>megyei jogú város? (0 - nem, 1 - igen)</t>
  </si>
  <si>
    <r>
      <t>t CO</t>
    </r>
    <r>
      <rPr>
        <vertAlign val="subscript"/>
        <sz val="10"/>
        <color indexed="8"/>
        <rFont val="Arial"/>
        <family val="2"/>
      </rPr>
      <t>2</t>
    </r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</si>
  <si>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e/MWh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</si>
  <si>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</si>
  <si>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A település KÖZIGAZGATÁSI területén áthaladó állami utak (kivéve gyorsforgalmi utak) hossza, forgalma (jármű/nap)</t>
  </si>
  <si>
    <t>A település BELTERÜLETÉN áthaladó állami utak (kivéve gyorsforgalmi utak) hossza</t>
  </si>
  <si>
    <t>Közút száma</t>
  </si>
  <si>
    <t>állami út belterületre eső szakaszhossza (km)</t>
  </si>
  <si>
    <t xml:space="preserve">állami utak belterületre eső hossza </t>
  </si>
  <si>
    <t>Korrekciós tényező számítása</t>
  </si>
  <si>
    <r>
      <t xml:space="preserve">a településre vonatkozó, személygépkocsival megtett, a lakótelepülésen belül történő munkába járás összesített napi időtartama egy irányba </t>
    </r>
    <r>
      <rPr>
        <sz val="10"/>
        <color indexed="40"/>
        <rFont val="Arial"/>
        <family val="2"/>
      </rPr>
      <t>(egyedi KSH adatkérés alapján)</t>
    </r>
  </si>
  <si>
    <r>
      <t xml:space="preserve">a településről személygépkocsival ingázó munkavállalók száma  </t>
    </r>
    <r>
      <rPr>
        <sz val="10"/>
        <color indexed="40"/>
        <rFont val="Arial"/>
        <family val="2"/>
      </rPr>
      <t>(egyedi KSH adatkérés alapján)</t>
    </r>
  </si>
  <si>
    <t xml:space="preserve">Benzin és dízelüzemű személygépkocsik számára vonatkozó adatok: </t>
  </si>
  <si>
    <t xml:space="preserve">Állami utak hosszára vonatkozó információk:  </t>
  </si>
  <si>
    <t>http://kira.gov.hu/</t>
  </si>
  <si>
    <t xml:space="preserve">Állami utak forgalomszámlásái adatai: </t>
  </si>
  <si>
    <t>http://internet.kozut.hu/Lapok/forgalomszamlalas.aspx</t>
  </si>
  <si>
    <t>Település belterületén áthaladó állami utak hosszára vonatkozó adatok forrása:</t>
  </si>
  <si>
    <t>Összes kiépített belterületi út hosszára vonatkozó adatok forrása:</t>
  </si>
  <si>
    <r>
      <t>összes kiépített belterületi út hossza:</t>
    </r>
    <r>
      <rPr>
        <b/>
        <u val="single"/>
        <sz val="10"/>
        <color indexed="49"/>
        <rFont val="Arial"/>
        <family val="2"/>
      </rPr>
      <t xml:space="preserve"> </t>
    </r>
  </si>
  <si>
    <t>https://www.teir.hu/</t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</si>
  <si>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-kibocsátás</t>
    </r>
  </si>
  <si>
    <r>
      <t xml:space="preserve">a település nem állami kezelésű útjain bonyolódó autóbuszforgalom futási teljesítménye </t>
    </r>
    <r>
      <rPr>
        <sz val="10"/>
        <color indexed="49"/>
        <rFont val="Arial"/>
        <family val="2"/>
      </rPr>
      <t>(szolgáltatótól lekérdezendő)</t>
    </r>
  </si>
  <si>
    <t>liter</t>
  </si>
  <si>
    <t>összes üzemanyag-fogyasztás (liter):</t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</si>
  <si>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/ MWh</t>
    </r>
  </si>
  <si>
    <r>
      <t>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</t>
    </r>
  </si>
  <si>
    <r>
      <t>t CH</t>
    </r>
    <r>
      <rPr>
        <vertAlign val="subscript"/>
        <sz val="10"/>
        <rFont val="Arial"/>
        <family val="2"/>
      </rPr>
      <t>4</t>
    </r>
  </si>
  <si>
    <r>
      <t>t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</si>
  <si>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t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</si>
  <si>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</si>
  <si>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r>
      <t>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 / év</t>
    </r>
  </si>
  <si>
    <r>
      <t>erdők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-elnyelése:</t>
    </r>
  </si>
  <si>
    <r>
      <t>zöldterületek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-elnyelése:</t>
    </r>
  </si>
  <si>
    <r>
      <t>CO</t>
    </r>
    <r>
      <rPr>
        <b/>
        <vertAlign val="subscript"/>
        <sz val="11"/>
        <rFont val="Arial"/>
        <family val="2"/>
      </rPr>
      <t>2</t>
    </r>
  </si>
  <si>
    <r>
      <t>CH</t>
    </r>
    <r>
      <rPr>
        <b/>
        <vertAlign val="subscript"/>
        <sz val="11"/>
        <rFont val="Arial"/>
        <family val="2"/>
      </rPr>
      <t>4</t>
    </r>
  </si>
  <si>
    <r>
      <t>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</si>
  <si>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r>
      <t>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egyenérték</t>
    </r>
  </si>
  <si>
    <t>Verziószám: v1.2</t>
  </si>
  <si>
    <t>http://statinfo.ksh.hu/Statinfo/themeSelector.jsp?page=2&amp;szst=OMN</t>
  </si>
  <si>
    <t>2016-tól kezdődő évekre vonatkozóan: Megyei istállótrágya-felhasználásra vonatkozó adatokat kell figyelembe venni (4. adatkör)</t>
  </si>
  <si>
    <r>
      <rPr>
        <sz val="10"/>
        <color indexed="49"/>
        <rFont val="Arial"/>
        <family val="2"/>
      </rPr>
      <t>2003-2015 közötti évekre vonatkozóan:</t>
    </r>
    <r>
      <rPr>
        <u val="single"/>
        <sz val="10"/>
        <color indexed="49"/>
        <rFont val="Arial"/>
        <family val="2"/>
      </rPr>
      <t xml:space="preserve"> </t>
    </r>
    <r>
      <rPr>
        <sz val="10"/>
        <color indexed="49"/>
        <rFont val="Arial"/>
        <family val="2"/>
      </rPr>
      <t>Megyei szervestrágya-felhasználásra vonatkozó adatokat kell figyelembe venni (6. adatkör)</t>
    </r>
  </si>
  <si>
    <t>Megyei műtrágyafelhasználásra vonatkozó adatok: 7. adatkör</t>
  </si>
  <si>
    <t xml:space="preserve">Trágyázásra vonatkozó adatok elérhetők innen: </t>
  </si>
  <si>
    <t>Összes juh:</t>
  </si>
  <si>
    <t>juh - emésztés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</si>
</sst>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.00\ _D_M_-;\-* #,##0.00\ _D_M_-;_-* &quot;-&quot;??\ _D_M_-;_-@_-"/>
    <numFmt numFmtId="170" formatCode="0_ ;[Red]\-0\ "/>
    <numFmt numFmtId="171" formatCode="0.000"/>
    <numFmt numFmtId="172" formatCode="0.0"/>
    <numFmt numFmtId="173" formatCode="_-* #,##0.0\ _D_M_-;\-* #,##0.0\ _D_M_-;_-* &quot;-&quot;??\ _D_M_-;_-@_-"/>
    <numFmt numFmtId="174" formatCode="0.0000"/>
    <numFmt numFmtId="175" formatCode="#,##0.0"/>
    <numFmt numFmtId="176" formatCode="0.0%"/>
    <numFmt numFmtId="177" formatCode="#,##0\ &quot;Ft&quot;"/>
    <numFmt numFmtId="178" formatCode="[$-40E]yyyy\.\ mmmm\ d\."/>
    <numFmt numFmtId="179" formatCode="#,##0.00\ &quot;Ft&quot;"/>
    <numFmt numFmtId="180" formatCode="#,##0.0\ &quot;Ft&quot;"/>
    <numFmt numFmtId="181" formatCode="_-* #,##0.0\ &quot;Ft&quot;_-;\-* #,##0.0\ &quot;Ft&quot;_-;_-* &quot;-&quot;??\ &quot;Ft&quot;_-;_-@_-"/>
    <numFmt numFmtId="182" formatCode="_-* #,##0\ &quot;Ft&quot;_-;\-* #,##0\ &quot;Ft&quot;_-;_-* &quot;-&quot;??\ &quot;Ft&quot;_-;_-@_-"/>
    <numFmt numFmtId="183" formatCode="_-* #,##0\ _D_M_-;\-* #,##0\ _D_M_-;_-* &quot;-&quot;??\ _D_M_-;_-@_-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  <numFmt numFmtId="188" formatCode="0.000000"/>
    <numFmt numFmtId="189" formatCode="0.00000"/>
    <numFmt numFmtId="190" formatCode="0.00000000"/>
    <numFmt numFmtId="191" formatCode="0.0000000"/>
    <numFmt numFmtId="192" formatCode="0.0000E+00"/>
    <numFmt numFmtId="193" formatCode="0.000E+00"/>
    <numFmt numFmtId="194" formatCode="0.0E+00"/>
    <numFmt numFmtId="195" formatCode="0E+00"/>
    <numFmt numFmtId="196" formatCode="#,##0.00_ ;\-#,##0.00\ "/>
    <numFmt numFmtId="197" formatCode="#,##0.0_ ;\-#,##0.0\ "/>
    <numFmt numFmtId="198" formatCode="#,##0_ ;\-#,##0\ 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9"/>
      <name val="Microsoft Sans Serif"/>
      <family val="2"/>
    </font>
    <font>
      <sz val="10"/>
      <name val="Times New Roman"/>
      <family val="1"/>
    </font>
    <font>
      <sz val="10"/>
      <color indexed="4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40"/>
      <name val="Arial"/>
      <family val="2"/>
    </font>
    <font>
      <b/>
      <sz val="10"/>
      <color indexed="40"/>
      <name val="Arial"/>
      <family val="2"/>
    </font>
    <font>
      <sz val="22"/>
      <color indexed="9"/>
      <name val="Arial"/>
      <family val="2"/>
    </font>
    <font>
      <sz val="11"/>
      <color indexed="9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1"/>
      <name val="Arial"/>
      <family val="2"/>
    </font>
    <font>
      <sz val="10"/>
      <color indexed="49"/>
      <name val="Arial"/>
      <family val="2"/>
    </font>
    <font>
      <b/>
      <u val="single"/>
      <sz val="10"/>
      <color indexed="49"/>
      <name val="Arial"/>
      <family val="2"/>
    </font>
    <font>
      <u val="single"/>
      <sz val="10"/>
      <color indexed="49"/>
      <name val="Arial"/>
      <family val="2"/>
    </font>
    <font>
      <b/>
      <vertAlign val="subscript"/>
      <sz val="11"/>
      <name val="Arial"/>
      <family val="2"/>
    </font>
    <font>
      <b/>
      <sz val="18"/>
      <color indexed="40"/>
      <name val="Cambria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33CCCC"/>
      <name val="Arial"/>
      <family val="2"/>
    </font>
    <font>
      <b/>
      <sz val="10"/>
      <color rgb="FF33CCCC"/>
      <name val="Arial"/>
      <family val="2"/>
    </font>
    <font>
      <b/>
      <u val="single"/>
      <sz val="10"/>
      <color rgb="FF33CCCC"/>
      <name val="Arial"/>
      <family val="2"/>
    </font>
    <font>
      <u val="single"/>
      <sz val="10"/>
      <color rgb="FF33CCCC"/>
      <name val="Arial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33CC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8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5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8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8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59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5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9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59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5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60" fillId="48" borderId="1" applyNumberFormat="0" applyAlignment="0" applyProtection="0"/>
    <xf numFmtId="0" fontId="6" fillId="18" borderId="2" applyNumberFormat="0" applyAlignment="0" applyProtection="0"/>
    <xf numFmtId="0" fontId="6" fillId="19" borderId="2" applyNumberFormat="0" applyAlignment="0" applyProtection="0"/>
    <xf numFmtId="0" fontId="6" fillId="18" borderId="2" applyNumberFormat="0" applyAlignment="0" applyProtection="0"/>
    <xf numFmtId="0" fontId="60" fillId="48" borderId="1" applyNumberFormat="0" applyAlignment="0" applyProtection="0"/>
    <xf numFmtId="0" fontId="61" fillId="49" borderId="3" applyNumberFormat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0" fillId="0" borderId="5" applyNumberFormat="0" applyFill="0" applyAlignment="0" applyProtection="0"/>
    <xf numFmtId="0" fontId="64" fillId="0" borderId="6" applyNumberFormat="0" applyFill="0" applyAlignment="0" applyProtection="0"/>
    <xf numFmtId="0" fontId="11" fillId="0" borderId="7" applyNumberFormat="0" applyFill="0" applyAlignment="0" applyProtection="0"/>
    <xf numFmtId="0" fontId="65" fillId="0" borderId="8" applyNumberFormat="0" applyFill="0" applyAlignment="0" applyProtection="0"/>
    <xf numFmtId="0" fontId="12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1" fillId="49" borderId="3" applyNumberFormat="0" applyAlignment="0" applyProtection="0"/>
    <xf numFmtId="0" fontId="13" fillId="50" borderId="10" applyNumberFormat="0" applyAlignment="0" applyProtection="0"/>
    <xf numFmtId="0" fontId="13" fillId="51" borderId="10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14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0" fillId="54" borderId="14" applyNumberFormat="0" applyFont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59" fillId="63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59" fillId="66" borderId="0" applyNumberFormat="0" applyBorder="0" applyAlignment="0" applyProtection="0"/>
    <xf numFmtId="0" fontId="59" fillId="67" borderId="0" applyNumberFormat="0" applyBorder="0" applyAlignment="0" applyProtection="0"/>
    <xf numFmtId="0" fontId="59" fillId="68" borderId="0" applyNumberFormat="0" applyBorder="0" applyAlignment="0" applyProtection="0"/>
    <xf numFmtId="0" fontId="69" fillId="6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70" fillId="70" borderId="15" applyNumberFormat="0" applyAlignment="0" applyProtection="0"/>
    <xf numFmtId="0" fontId="16" fillId="71" borderId="16" applyNumberFormat="0" applyAlignment="0" applyProtection="0"/>
    <xf numFmtId="0" fontId="16" fillId="72" borderId="16" applyNumberForma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 applyAlignment="0">
      <protection locked="0"/>
    </xf>
    <xf numFmtId="0" fontId="21" fillId="0" borderId="0">
      <alignment/>
      <protection/>
    </xf>
    <xf numFmtId="0" fontId="58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2" fillId="0" borderId="17" applyNumberFormat="0" applyFill="0" applyAlignment="0" applyProtection="0"/>
    <xf numFmtId="0" fontId="7" fillId="0" borderId="1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3" fillId="7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4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75" fillId="70" borderId="1" applyNumberFormat="0" applyAlignment="0" applyProtection="0"/>
    <xf numFmtId="0" fontId="20" fillId="71" borderId="2" applyNumberFormat="0" applyAlignment="0" applyProtection="0"/>
    <xf numFmtId="0" fontId="20" fillId="72" borderId="2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77" borderId="0" xfId="0" applyFont="1" applyFill="1" applyAlignment="1">
      <alignment/>
    </xf>
    <xf numFmtId="0" fontId="0" fillId="77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33" fillId="0" borderId="0" xfId="0" applyFont="1" applyAlignment="1">
      <alignment/>
    </xf>
    <xf numFmtId="0" fontId="1" fillId="0" borderId="0" xfId="97" applyAlignment="1" applyProtection="1">
      <alignment/>
      <protection/>
    </xf>
    <xf numFmtId="0" fontId="0" fillId="77" borderId="0" xfId="0" applyFont="1" applyFill="1" applyAlignment="1">
      <alignment/>
    </xf>
    <xf numFmtId="0" fontId="33" fillId="54" borderId="20" xfId="0" applyFont="1" applyFill="1" applyBorder="1" applyAlignment="1">
      <alignment/>
    </xf>
    <xf numFmtId="0" fontId="0" fillId="56" borderId="0" xfId="0" applyFill="1" applyAlignment="1">
      <alignment/>
    </xf>
    <xf numFmtId="0" fontId="34" fillId="56" borderId="0" xfId="0" applyFont="1" applyFill="1" applyAlignment="1">
      <alignment/>
    </xf>
    <xf numFmtId="9" fontId="34" fillId="56" borderId="0" xfId="163" applyFont="1" applyFill="1" applyAlignment="1">
      <alignment/>
    </xf>
    <xf numFmtId="0" fontId="34" fillId="56" borderId="0" xfId="0" applyFont="1" applyFill="1" applyAlignment="1" quotePrefix="1">
      <alignment/>
    </xf>
    <xf numFmtId="0" fontId="35" fillId="56" borderId="0" xfId="0" applyFont="1" applyFill="1" applyAlignment="1">
      <alignment/>
    </xf>
    <xf numFmtId="0" fontId="4" fillId="0" borderId="0" xfId="0" applyFont="1" applyAlignment="1">
      <alignment/>
    </xf>
    <xf numFmtId="171" fontId="0" fillId="0" borderId="20" xfId="0" applyNumberFormat="1" applyBorder="1" applyAlignment="1">
      <alignment/>
    </xf>
    <xf numFmtId="171" fontId="0" fillId="0" borderId="20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44" borderId="20" xfId="0" applyFill="1" applyBorder="1" applyAlignment="1">
      <alignment/>
    </xf>
    <xf numFmtId="3" fontId="0" fillId="44" borderId="20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4" borderId="20" xfId="0" applyNumberFormat="1" applyFill="1" applyBorder="1" applyAlignment="1">
      <alignment/>
    </xf>
    <xf numFmtId="171" fontId="0" fillId="54" borderId="2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44" borderId="0" xfId="0" applyFont="1" applyFill="1" applyAlignment="1">
      <alignment horizontal="center" vertical="center" textRotation="90"/>
    </xf>
    <xf numFmtId="0" fontId="25" fillId="77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16" borderId="0" xfId="0" applyFont="1" applyFill="1" applyBorder="1" applyAlignment="1">
      <alignment/>
    </xf>
    <xf numFmtId="0" fontId="26" fillId="44" borderId="21" xfId="0" applyFont="1" applyFill="1" applyBorder="1" applyAlignment="1">
      <alignment/>
    </xf>
    <xf numFmtId="0" fontId="26" fillId="44" borderId="22" xfId="0" applyFont="1" applyFill="1" applyBorder="1" applyAlignment="1">
      <alignment/>
    </xf>
    <xf numFmtId="0" fontId="25" fillId="16" borderId="23" xfId="0" applyFont="1" applyFill="1" applyBorder="1" applyAlignment="1">
      <alignment/>
    </xf>
    <xf numFmtId="0" fontId="26" fillId="16" borderId="24" xfId="0" applyFont="1" applyFill="1" applyBorder="1" applyAlignment="1">
      <alignment/>
    </xf>
    <xf numFmtId="16" fontId="25" fillId="16" borderId="0" xfId="0" applyNumberFormat="1" applyFont="1" applyFill="1" applyBorder="1" applyAlignment="1">
      <alignment/>
    </xf>
    <xf numFmtId="0" fontId="26" fillId="16" borderId="25" xfId="0" applyFont="1" applyFill="1" applyBorder="1" applyAlignment="1">
      <alignment/>
    </xf>
    <xf numFmtId="0" fontId="26" fillId="77" borderId="26" xfId="0" applyFont="1" applyFill="1" applyBorder="1" applyAlignment="1">
      <alignment/>
    </xf>
    <xf numFmtId="0" fontId="26" fillId="77" borderId="27" xfId="0" applyFont="1" applyFill="1" applyBorder="1" applyAlignment="1">
      <alignment/>
    </xf>
    <xf numFmtId="0" fontId="25" fillId="78" borderId="0" xfId="0" applyFont="1" applyFill="1" applyAlignment="1">
      <alignment horizontal="center" vertical="center" textRotation="90"/>
    </xf>
    <xf numFmtId="0" fontId="26" fillId="78" borderId="0" xfId="0" applyFont="1" applyFill="1" applyAlignment="1">
      <alignment/>
    </xf>
    <xf numFmtId="0" fontId="25" fillId="78" borderId="0" xfId="0" applyFont="1" applyFill="1" applyAlignment="1">
      <alignment/>
    </xf>
    <xf numFmtId="0" fontId="26" fillId="44" borderId="0" xfId="0" applyFont="1" applyFill="1" applyAlignment="1">
      <alignment vertical="center"/>
    </xf>
    <xf numFmtId="0" fontId="25" fillId="4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171" fontId="0" fillId="0" borderId="0" xfId="0" applyNumberFormat="1" applyAlignment="1">
      <alignment/>
    </xf>
    <xf numFmtId="2" fontId="0" fillId="0" borderId="28" xfId="0" applyNumberFormat="1" applyBorder="1" applyAlignment="1">
      <alignment/>
    </xf>
    <xf numFmtId="0" fontId="0" fillId="0" borderId="20" xfId="0" applyFill="1" applyBorder="1" applyAlignment="1">
      <alignment/>
    </xf>
    <xf numFmtId="195" fontId="0" fillId="0" borderId="0" xfId="0" applyNumberFormat="1" applyAlignment="1">
      <alignment/>
    </xf>
    <xf numFmtId="2" fontId="0" fillId="0" borderId="29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0" fillId="44" borderId="20" xfId="133" applyNumberFormat="1" applyFont="1" applyFill="1" applyBorder="1">
      <alignment/>
      <protection/>
    </xf>
    <xf numFmtId="0" fontId="4" fillId="33" borderId="0" xfId="0" applyFont="1" applyFill="1" applyAlignment="1">
      <alignment/>
    </xf>
    <xf numFmtId="0" fontId="0" fillId="79" borderId="0" xfId="0" applyFill="1" applyAlignment="1">
      <alignment/>
    </xf>
    <xf numFmtId="0" fontId="4" fillId="79" borderId="0" xfId="0" applyFont="1" applyFill="1" applyAlignment="1">
      <alignment/>
    </xf>
    <xf numFmtId="2" fontId="4" fillId="33" borderId="28" xfId="0" applyNumberFormat="1" applyFont="1" applyFill="1" applyBorder="1" applyAlignment="1">
      <alignment/>
    </xf>
    <xf numFmtId="2" fontId="4" fillId="79" borderId="28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2" fontId="4" fillId="25" borderId="28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20" xfId="0" applyNumberFormat="1" applyBorder="1" applyAlignment="1">
      <alignment/>
    </xf>
    <xf numFmtId="2" fontId="4" fillId="33" borderId="26" xfId="0" applyNumberFormat="1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1" fontId="4" fillId="79" borderId="28" xfId="0" applyNumberFormat="1" applyFont="1" applyFill="1" applyBorder="1" applyAlignment="1">
      <alignment/>
    </xf>
    <xf numFmtId="9" fontId="0" fillId="44" borderId="20" xfId="163" applyFont="1" applyFill="1" applyBorder="1" applyAlignment="1">
      <alignment/>
    </xf>
    <xf numFmtId="9" fontId="0" fillId="54" borderId="20" xfId="163" applyFont="1" applyFill="1" applyBorder="1" applyAlignment="1">
      <alignment/>
    </xf>
    <xf numFmtId="196" fontId="25" fillId="44" borderId="22" xfId="91" applyNumberFormat="1" applyFont="1" applyFill="1" applyBorder="1" applyAlignment="1">
      <alignment/>
    </xf>
    <xf numFmtId="196" fontId="25" fillId="44" borderId="28" xfId="91" applyNumberFormat="1" applyFont="1" applyFill="1" applyBorder="1" applyAlignment="1">
      <alignment/>
    </xf>
    <xf numFmtId="196" fontId="25" fillId="78" borderId="0" xfId="91" applyNumberFormat="1" applyFont="1" applyFill="1" applyBorder="1" applyAlignment="1">
      <alignment/>
    </xf>
    <xf numFmtId="196" fontId="25" fillId="78" borderId="23" xfId="91" applyNumberFormat="1" applyFont="1" applyFill="1" applyBorder="1" applyAlignment="1">
      <alignment/>
    </xf>
    <xf numFmtId="196" fontId="25" fillId="78" borderId="0" xfId="91" applyNumberFormat="1" applyFont="1" applyFill="1" applyAlignment="1">
      <alignment/>
    </xf>
    <xf numFmtId="196" fontId="25" fillId="44" borderId="30" xfId="91" applyNumberFormat="1" applyFont="1" applyFill="1" applyBorder="1" applyAlignment="1">
      <alignment/>
    </xf>
    <xf numFmtId="196" fontId="25" fillId="44" borderId="31" xfId="91" applyNumberFormat="1" applyFont="1" applyFill="1" applyBorder="1" applyAlignment="1">
      <alignment/>
    </xf>
    <xf numFmtId="196" fontId="26" fillId="44" borderId="28" xfId="91" applyNumberFormat="1" applyFont="1" applyFill="1" applyBorder="1" applyAlignment="1">
      <alignment vertical="center"/>
    </xf>
    <xf numFmtId="196" fontId="26" fillId="33" borderId="28" xfId="91" applyNumberFormat="1" applyFont="1" applyFill="1" applyBorder="1" applyAlignment="1">
      <alignment vertical="center"/>
    </xf>
    <xf numFmtId="196" fontId="26" fillId="79" borderId="28" xfId="91" applyNumberFormat="1" applyFont="1" applyFill="1" applyBorder="1" applyAlignment="1">
      <alignment vertical="center"/>
    </xf>
    <xf numFmtId="196" fontId="26" fillId="25" borderId="28" xfId="91" applyNumberFormat="1" applyFont="1" applyFill="1" applyBorder="1" applyAlignment="1">
      <alignment vertical="center"/>
    </xf>
    <xf numFmtId="196" fontId="36" fillId="60" borderId="28" xfId="91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center"/>
    </xf>
    <xf numFmtId="0" fontId="26" fillId="79" borderId="29" xfId="0" applyFont="1" applyFill="1" applyBorder="1" applyAlignment="1">
      <alignment horizontal="center"/>
    </xf>
    <xf numFmtId="0" fontId="26" fillId="25" borderId="29" xfId="0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79" borderId="32" xfId="0" applyFont="1" applyFill="1" applyBorder="1" applyAlignment="1">
      <alignment horizontal="center"/>
    </xf>
    <xf numFmtId="0" fontId="26" fillId="25" borderId="32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44" borderId="20" xfId="0" applyFont="1" applyFill="1" applyBorder="1" applyAlignment="1">
      <alignment/>
    </xf>
    <xf numFmtId="0" fontId="0" fillId="78" borderId="0" xfId="0" applyFill="1" applyAlignment="1">
      <alignment/>
    </xf>
    <xf numFmtId="0" fontId="4" fillId="78" borderId="0" xfId="0" applyFont="1" applyFill="1" applyAlignment="1">
      <alignment/>
    </xf>
    <xf numFmtId="16" fontId="0" fillId="78" borderId="0" xfId="0" applyNumberFormat="1" applyFill="1" applyAlignment="1">
      <alignment/>
    </xf>
    <xf numFmtId="0" fontId="24" fillId="0" borderId="0" xfId="0" applyFont="1" applyFill="1" applyAlignment="1">
      <alignment/>
    </xf>
    <xf numFmtId="2" fontId="38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44" borderId="20" xfId="0" applyFont="1" applyFill="1" applyBorder="1" applyAlignment="1">
      <alignment horizontal="right"/>
    </xf>
    <xf numFmtId="0" fontId="0" fillId="54" borderId="20" xfId="0" applyFont="1" applyFill="1" applyBorder="1" applyAlignment="1">
      <alignment horizontal="right"/>
    </xf>
    <xf numFmtId="3" fontId="0" fillId="44" borderId="20" xfId="0" applyNumberFormat="1" applyFont="1" applyFill="1" applyBorder="1" applyAlignment="1">
      <alignment/>
    </xf>
    <xf numFmtId="0" fontId="39" fillId="0" borderId="0" xfId="0" applyFont="1" applyAlignment="1">
      <alignment/>
    </xf>
    <xf numFmtId="3" fontId="0" fillId="0" borderId="20" xfId="0" applyNumberFormat="1" applyFill="1" applyBorder="1" applyAlignment="1">
      <alignment/>
    </xf>
    <xf numFmtId="0" fontId="38" fillId="0" borderId="0" xfId="0" applyFont="1" applyAlignment="1">
      <alignment/>
    </xf>
    <xf numFmtId="0" fontId="38" fillId="0" borderId="0" xfId="97" applyFont="1" applyFill="1" applyAlignment="1" applyProtection="1">
      <alignment vertical="center"/>
      <protection/>
    </xf>
    <xf numFmtId="0" fontId="0" fillId="0" borderId="0" xfId="0" applyFill="1" applyBorder="1" applyAlignment="1">
      <alignment wrapText="1"/>
    </xf>
    <xf numFmtId="0" fontId="0" fillId="54" borderId="20" xfId="0" applyFill="1" applyBorder="1" applyAlignment="1">
      <alignment/>
    </xf>
    <xf numFmtId="2" fontId="0" fillId="54" borderId="20" xfId="0" applyNumberForma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24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198" fontId="0" fillId="44" borderId="20" xfId="91" applyNumberFormat="1" applyFont="1" applyFill="1" applyBorder="1" applyAlignment="1">
      <alignment/>
    </xf>
    <xf numFmtId="0" fontId="0" fillId="54" borderId="20" xfId="0" applyFont="1" applyFill="1" applyBorder="1" applyAlignment="1">
      <alignment/>
    </xf>
    <xf numFmtId="0" fontId="4" fillId="0" borderId="38" xfId="0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4" xfId="0" applyFont="1" applyBorder="1" applyAlignment="1">
      <alignment/>
    </xf>
    <xf numFmtId="0" fontId="30" fillId="0" borderId="0" xfId="148" applyFont="1">
      <alignment/>
      <protection/>
    </xf>
    <xf numFmtId="2" fontId="0" fillId="0" borderId="0" xfId="0" applyNumberFormat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8" xfId="0" applyBorder="1" applyAlignment="1">
      <alignment/>
    </xf>
    <xf numFmtId="172" fontId="0" fillId="0" borderId="20" xfId="0" applyNumberFormat="1" applyBorder="1" applyAlignment="1">
      <alignment/>
    </xf>
    <xf numFmtId="1" fontId="4" fillId="33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78" borderId="20" xfId="0" applyFill="1" applyBorder="1" applyAlignment="1">
      <alignment/>
    </xf>
    <xf numFmtId="0" fontId="0" fillId="78" borderId="0" xfId="0" applyFont="1" applyFill="1" applyAlignment="1">
      <alignment/>
    </xf>
    <xf numFmtId="0" fontId="0" fillId="0" borderId="0" xfId="135" applyFont="1">
      <alignment/>
      <protection/>
    </xf>
    <xf numFmtId="0" fontId="0" fillId="54" borderId="20" xfId="135" applyFill="1" applyBorder="1">
      <alignment/>
      <protection/>
    </xf>
    <xf numFmtId="0" fontId="0" fillId="0" borderId="0" xfId="135">
      <alignment/>
      <protection/>
    </xf>
    <xf numFmtId="0" fontId="38" fillId="0" borderId="0" xfId="97" applyFont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176" fontId="31" fillId="54" borderId="20" xfId="168" applyNumberFormat="1" applyFont="1" applyFill="1" applyBorder="1" applyAlignment="1">
      <alignment/>
    </xf>
    <xf numFmtId="0" fontId="25" fillId="78" borderId="0" xfId="0" applyFont="1" applyFill="1" applyAlignment="1">
      <alignment vertical="center"/>
    </xf>
    <xf numFmtId="0" fontId="0" fillId="0" borderId="37" xfId="0" applyFont="1" applyFill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Fill="1" applyBorder="1" applyAlignment="1">
      <alignment/>
    </xf>
    <xf numFmtId="1" fontId="0" fillId="0" borderId="44" xfId="0" applyNumberFormat="1" applyFill="1" applyBorder="1" applyAlignment="1">
      <alignment/>
    </xf>
    <xf numFmtId="1" fontId="0" fillId="0" borderId="45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37" xfId="0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wrapText="1"/>
    </xf>
    <xf numFmtId="0" fontId="7" fillId="0" borderId="37" xfId="148" applyFont="1" applyFill="1" applyBorder="1">
      <alignment/>
      <protection/>
    </xf>
    <xf numFmtId="0" fontId="0" fillId="0" borderId="34" xfId="0" applyFill="1" applyBorder="1" applyAlignment="1">
      <alignment/>
    </xf>
    <xf numFmtId="172" fontId="3" fillId="0" borderId="0" xfId="148" applyNumberFormat="1" applyFill="1" applyBorder="1">
      <alignment/>
      <protection/>
    </xf>
    <xf numFmtId="0" fontId="3" fillId="0" borderId="0" xfId="148" applyFill="1" applyBorder="1">
      <alignment/>
      <protection/>
    </xf>
    <xf numFmtId="0" fontId="0" fillId="0" borderId="34" xfId="0" applyFont="1" applyFill="1" applyBorder="1" applyAlignment="1">
      <alignment/>
    </xf>
    <xf numFmtId="0" fontId="31" fillId="0" borderId="40" xfId="148" applyFont="1" applyFill="1" applyBorder="1">
      <alignment/>
      <protection/>
    </xf>
    <xf numFmtId="0" fontId="31" fillId="0" borderId="35" xfId="148" applyFont="1" applyFill="1" applyBorder="1">
      <alignment/>
      <protection/>
    </xf>
    <xf numFmtId="0" fontId="31" fillId="0" borderId="36" xfId="148" applyFont="1" applyFill="1" applyBorder="1">
      <alignment/>
      <protection/>
    </xf>
    <xf numFmtId="0" fontId="30" fillId="0" borderId="0" xfId="148" applyFont="1" applyFill="1" applyBorder="1">
      <alignment/>
      <protection/>
    </xf>
    <xf numFmtId="0" fontId="0" fillId="44" borderId="41" xfId="0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0" fontId="4" fillId="33" borderId="28" xfId="0" applyNumberFormat="1" applyFont="1" applyFill="1" applyBorder="1" applyAlignment="1">
      <alignment/>
    </xf>
    <xf numFmtId="0" fontId="4" fillId="78" borderId="38" xfId="0" applyFont="1" applyFill="1" applyBorder="1" applyAlignment="1">
      <alignment/>
    </xf>
    <xf numFmtId="0" fontId="0" fillId="78" borderId="33" xfId="0" applyFill="1" applyBorder="1" applyAlignment="1">
      <alignment/>
    </xf>
    <xf numFmtId="0" fontId="0" fillId="78" borderId="34" xfId="0" applyFont="1" applyFill="1" applyBorder="1" applyAlignment="1">
      <alignment/>
    </xf>
    <xf numFmtId="0" fontId="0" fillId="78" borderId="37" xfId="0" applyFont="1" applyFill="1" applyBorder="1" applyAlignment="1">
      <alignment/>
    </xf>
    <xf numFmtId="0" fontId="0" fillId="78" borderId="34" xfId="0" applyFill="1" applyBorder="1" applyAlignment="1">
      <alignment/>
    </xf>
    <xf numFmtId="0" fontId="0" fillId="78" borderId="37" xfId="0" applyFill="1" applyBorder="1" applyAlignment="1">
      <alignment/>
    </xf>
    <xf numFmtId="0" fontId="4" fillId="0" borderId="45" xfId="0" applyFont="1" applyBorder="1" applyAlignment="1">
      <alignment/>
    </xf>
    <xf numFmtId="0" fontId="4" fillId="33" borderId="45" xfId="0" applyFont="1" applyFill="1" applyBorder="1" applyAlignment="1">
      <alignment/>
    </xf>
    <xf numFmtId="0" fontId="24" fillId="0" borderId="37" xfId="0" applyFont="1" applyFill="1" applyBorder="1" applyAlignment="1">
      <alignment horizontal="right"/>
    </xf>
    <xf numFmtId="0" fontId="24" fillId="78" borderId="40" xfId="0" applyFont="1" applyFill="1" applyBorder="1" applyAlignment="1">
      <alignment horizontal="right"/>
    </xf>
    <xf numFmtId="0" fontId="0" fillId="78" borderId="36" xfId="0" applyFont="1" applyFill="1" applyBorder="1" applyAlignment="1">
      <alignment/>
    </xf>
    <xf numFmtId="0" fontId="24" fillId="78" borderId="0" xfId="0" applyFont="1" applyFill="1" applyAlignment="1">
      <alignment horizontal="right"/>
    </xf>
    <xf numFmtId="0" fontId="4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22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79" borderId="23" xfId="0" applyFont="1" applyFill="1" applyBorder="1" applyAlignment="1">
      <alignment/>
    </xf>
    <xf numFmtId="0" fontId="4" fillId="25" borderId="23" xfId="0" applyFont="1" applyFill="1" applyBorder="1" applyAlignment="1">
      <alignment/>
    </xf>
    <xf numFmtId="196" fontId="26" fillId="76" borderId="27" xfId="91" applyNumberFormat="1" applyFont="1" applyFill="1" applyBorder="1" applyAlignment="1">
      <alignment/>
    </xf>
    <xf numFmtId="196" fontId="26" fillId="77" borderId="28" xfId="91" applyNumberFormat="1" applyFont="1" applyFill="1" applyBorder="1" applyAlignment="1">
      <alignment/>
    </xf>
    <xf numFmtId="0" fontId="32" fillId="0" borderId="20" xfId="0" applyFont="1" applyBorder="1" applyAlignment="1">
      <alignment/>
    </xf>
    <xf numFmtId="0" fontId="32" fillId="44" borderId="20" xfId="0" applyFont="1" applyFill="1" applyBorder="1" applyAlignment="1">
      <alignment horizontal="right"/>
    </xf>
    <xf numFmtId="0" fontId="32" fillId="4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44" borderId="20" xfId="0" applyFill="1" applyBorder="1" applyAlignment="1">
      <alignment horizontal="right"/>
    </xf>
    <xf numFmtId="0" fontId="1" fillId="44" borderId="20" xfId="97" applyFill="1" applyBorder="1" applyAlignment="1" applyProtection="1">
      <alignment horizontal="right"/>
      <protection/>
    </xf>
    <xf numFmtId="0" fontId="0" fillId="0" borderId="0" xfId="148" applyFont="1">
      <alignment/>
      <protection/>
    </xf>
    <xf numFmtId="0" fontId="45" fillId="0" borderId="37" xfId="148" applyFont="1" applyFill="1" applyBorder="1">
      <alignment/>
      <protection/>
    </xf>
    <xf numFmtId="0" fontId="21" fillId="0" borderId="0" xfId="148" applyFont="1" applyFill="1" applyBorder="1" applyAlignment="1">
      <alignment horizontal="center"/>
      <protection/>
    </xf>
    <xf numFmtId="0" fontId="21" fillId="0" borderId="37" xfId="148" applyFont="1" applyFill="1" applyBorder="1">
      <alignment/>
      <protection/>
    </xf>
    <xf numFmtId="172" fontId="21" fillId="0" borderId="20" xfId="148" applyNumberFormat="1" applyFont="1" applyFill="1" applyBorder="1">
      <alignment/>
      <protection/>
    </xf>
    <xf numFmtId="0" fontId="21" fillId="0" borderId="20" xfId="148" applyFont="1" applyFill="1" applyBorder="1">
      <alignment/>
      <protection/>
    </xf>
    <xf numFmtId="171" fontId="0" fillId="0" borderId="20" xfId="148" applyNumberFormat="1" applyFont="1" applyFill="1" applyBorder="1">
      <alignment/>
      <protection/>
    </xf>
    <xf numFmtId="0" fontId="0" fillId="0" borderId="0" xfId="148" applyFont="1" applyFill="1" applyBorder="1" applyAlignment="1">
      <alignment horizontal="left"/>
      <protection/>
    </xf>
    <xf numFmtId="2" fontId="0" fillId="0" borderId="20" xfId="148" applyNumberFormat="1" applyFont="1" applyFill="1" applyBorder="1">
      <alignment/>
      <protection/>
    </xf>
    <xf numFmtId="0" fontId="0" fillId="0" borderId="0" xfId="148" applyFont="1" applyFill="1" applyBorder="1">
      <alignment/>
      <protection/>
    </xf>
    <xf numFmtId="174" fontId="0" fillId="0" borderId="20" xfId="148" applyNumberFormat="1" applyFont="1" applyFill="1" applyBorder="1">
      <alignment/>
      <protection/>
    </xf>
    <xf numFmtId="0" fontId="0" fillId="0" borderId="34" xfId="148" applyFont="1" applyFill="1" applyBorder="1">
      <alignment/>
      <protection/>
    </xf>
    <xf numFmtId="0" fontId="0" fillId="0" borderId="37" xfId="148" applyFont="1" applyFill="1" applyBorder="1">
      <alignment/>
      <protection/>
    </xf>
    <xf numFmtId="0" fontId="0" fillId="0" borderId="20" xfId="148" applyFont="1" applyFill="1" applyBorder="1">
      <alignment/>
      <protection/>
    </xf>
    <xf numFmtId="0" fontId="0" fillId="0" borderId="41" xfId="0" applyFont="1" applyFill="1" applyBorder="1" applyAlignment="1">
      <alignment horizontal="right" wrapText="1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 horizontal="center" wrapText="1"/>
    </xf>
    <xf numFmtId="2" fontId="77" fillId="0" borderId="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6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 wrapText="1"/>
    </xf>
    <xf numFmtId="1" fontId="77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 horizontal="left" vertical="center" wrapText="1"/>
    </xf>
    <xf numFmtId="2" fontId="76" fillId="0" borderId="0" xfId="0" applyNumberFormat="1" applyFont="1" applyFill="1" applyBorder="1" applyAlignment="1">
      <alignment/>
    </xf>
    <xf numFmtId="0" fontId="79" fillId="0" borderId="0" xfId="97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77" fillId="0" borderId="0" xfId="0" applyFont="1" applyAlignment="1">
      <alignment/>
    </xf>
    <xf numFmtId="0" fontId="0" fillId="80" borderId="20" xfId="0" applyFill="1" applyBorder="1" applyAlignment="1" applyProtection="1">
      <alignment/>
      <protection locked="0"/>
    </xf>
    <xf numFmtId="0" fontId="27" fillId="78" borderId="0" xfId="0" applyFont="1" applyFill="1" applyAlignment="1">
      <alignment horizontal="center"/>
    </xf>
    <xf numFmtId="0" fontId="28" fillId="78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7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1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19" xfId="0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0" xfId="0" applyFont="1" applyFill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37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25" borderId="0" xfId="0" applyFont="1" applyFill="1" applyAlignment="1">
      <alignment horizontal="center" wrapText="1"/>
    </xf>
    <xf numFmtId="0" fontId="21" fillId="0" borderId="0" xfId="148" applyFont="1" applyFill="1" applyBorder="1" applyAlignment="1">
      <alignment horizontal="center"/>
      <protection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 wrapText="1"/>
    </xf>
    <xf numFmtId="0" fontId="4" fillId="25" borderId="0" xfId="0" applyFont="1" applyFill="1" applyBorder="1" applyAlignment="1">
      <alignment horizontal="center" wrapText="1"/>
    </xf>
    <xf numFmtId="0" fontId="4" fillId="25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25" fillId="44" borderId="0" xfId="0" applyFont="1" applyFill="1" applyAlignment="1">
      <alignment horizontal="center" vertical="center" textRotation="90"/>
    </xf>
    <xf numFmtId="0" fontId="25" fillId="44" borderId="0" xfId="0" applyFont="1" applyFill="1" applyBorder="1" applyAlignment="1">
      <alignment horizontal="center"/>
    </xf>
    <xf numFmtId="0" fontId="36" fillId="60" borderId="29" xfId="0" applyFont="1" applyFill="1" applyBorder="1" applyAlignment="1">
      <alignment horizontal="center" vertical="center"/>
    </xf>
    <xf numFmtId="0" fontId="36" fillId="60" borderId="32" xfId="0" applyFont="1" applyFill="1" applyBorder="1" applyAlignment="1">
      <alignment horizontal="center" vertical="center"/>
    </xf>
    <xf numFmtId="0" fontId="40" fillId="44" borderId="21" xfId="0" applyFont="1" applyFill="1" applyBorder="1" applyAlignment="1">
      <alignment horizontal="center"/>
    </xf>
    <xf numFmtId="0" fontId="40" fillId="44" borderId="22" xfId="0" applyFont="1" applyFill="1" applyBorder="1" applyAlignment="1">
      <alignment horizontal="center"/>
    </xf>
    <xf numFmtId="0" fontId="40" fillId="44" borderId="49" xfId="0" applyFont="1" applyFill="1" applyBorder="1" applyAlignment="1">
      <alignment horizontal="center"/>
    </xf>
    <xf numFmtId="0" fontId="40" fillId="44" borderId="24" xfId="0" applyFont="1" applyFill="1" applyBorder="1" applyAlignment="1">
      <alignment horizontal="center"/>
    </xf>
    <xf numFmtId="0" fontId="40" fillId="44" borderId="0" xfId="0" applyFont="1" applyFill="1" applyBorder="1" applyAlignment="1">
      <alignment horizontal="center"/>
    </xf>
    <xf numFmtId="0" fontId="40" fillId="44" borderId="30" xfId="0" applyFont="1" applyFill="1" applyBorder="1" applyAlignment="1">
      <alignment horizontal="center"/>
    </xf>
    <xf numFmtId="0" fontId="41" fillId="44" borderId="25" xfId="0" applyFont="1" applyFill="1" applyBorder="1" applyAlignment="1">
      <alignment horizontal="center"/>
    </xf>
    <xf numFmtId="0" fontId="41" fillId="44" borderId="23" xfId="0" applyFont="1" applyFill="1" applyBorder="1" applyAlignment="1">
      <alignment horizontal="center"/>
    </xf>
    <xf numFmtId="0" fontId="41" fillId="44" borderId="31" xfId="0" applyFont="1" applyFill="1" applyBorder="1" applyAlignment="1">
      <alignment horizontal="center"/>
    </xf>
    <xf numFmtId="0" fontId="4" fillId="77" borderId="0" xfId="0" applyFont="1" applyFill="1" applyAlignment="1">
      <alignment horizontal="center" vertical="center"/>
    </xf>
  </cellXfs>
  <cellStyles count="156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2x indented GHG Textfiels" xfId="33"/>
    <cellStyle name="40% - 1. jelölőszín" xfId="34"/>
    <cellStyle name="40% - 1. jelölőszín 2" xfId="35"/>
    <cellStyle name="40% - 1. jelölőszín 3" xfId="36"/>
    <cellStyle name="40% - 2. jelölőszín" xfId="37"/>
    <cellStyle name="40% - 2. jelölőszín 2" xfId="38"/>
    <cellStyle name="40% - 2. jelölőszín 3" xfId="39"/>
    <cellStyle name="40% - 3. jelölőszín" xfId="40"/>
    <cellStyle name="40% - 3. jelölőszín 2" xfId="41"/>
    <cellStyle name="40% - 3. jelölőszín 3" xfId="42"/>
    <cellStyle name="40% - 4. jelölőszín" xfId="43"/>
    <cellStyle name="40% - 4. jelölőszín 2" xfId="44"/>
    <cellStyle name="40% - 4. jelölőszín 3" xfId="45"/>
    <cellStyle name="40% - 5. jelölőszín" xfId="46"/>
    <cellStyle name="40% - 5. jelölőszín 2" xfId="47"/>
    <cellStyle name="40% - 5. jelölőszín 3" xfId="48"/>
    <cellStyle name="40% - 6. jelölőszín" xfId="49"/>
    <cellStyle name="40% - 6. jelölőszín 2" xfId="50"/>
    <cellStyle name="40% - 6. jelölőszín 3" xfId="51"/>
    <cellStyle name="5x indented GHG Textfiels" xfId="52"/>
    <cellStyle name="60% - 1. jelölőszín" xfId="53"/>
    <cellStyle name="60% - 1. jelölőszín 2" xfId="54"/>
    <cellStyle name="60% - 1. jelölőszín 3" xfId="55"/>
    <cellStyle name="60% - 2. jelölőszín" xfId="56"/>
    <cellStyle name="60% - 2. jelölőszín 2" xfId="57"/>
    <cellStyle name="60% - 2. jelölőszín 3" xfId="58"/>
    <cellStyle name="60% - 3. jelölőszín" xfId="59"/>
    <cellStyle name="60% - 3. jelölőszín 2" xfId="60"/>
    <cellStyle name="60% - 3. jelölőszín 3" xfId="61"/>
    <cellStyle name="60% - 4. jelölőszín" xfId="62"/>
    <cellStyle name="60% - 4. jelölőszín 2" xfId="63"/>
    <cellStyle name="60% - 4. jelölőszín 3" xfId="64"/>
    <cellStyle name="60% - 5. jelölőszín" xfId="65"/>
    <cellStyle name="60% - 5. jelölőszín 2" xfId="66"/>
    <cellStyle name="60% - 5. jelölőszín 3" xfId="67"/>
    <cellStyle name="60% - 6. jelölőszín" xfId="68"/>
    <cellStyle name="60% - 6. jelölőszín 2" xfId="69"/>
    <cellStyle name="60% - 6. jelölőszín 3" xfId="70"/>
    <cellStyle name="Bevitel" xfId="71"/>
    <cellStyle name="Bevitel 2" xfId="72"/>
    <cellStyle name="Bevitel 3" xfId="73"/>
    <cellStyle name="Bevitel 4" xfId="74"/>
    <cellStyle name="Bevitel 5" xfId="75"/>
    <cellStyle name="Check Cell 2" xfId="76"/>
    <cellStyle name="Cím" xfId="77"/>
    <cellStyle name="Cím 2" xfId="78"/>
    <cellStyle name="Címsor 1" xfId="79"/>
    <cellStyle name="Címsor 1 2" xfId="80"/>
    <cellStyle name="Címsor 2" xfId="81"/>
    <cellStyle name="Címsor 2 2" xfId="82"/>
    <cellStyle name="Címsor 3" xfId="83"/>
    <cellStyle name="Címsor 3 2" xfId="84"/>
    <cellStyle name="Címsor 4" xfId="85"/>
    <cellStyle name="Címsor 4 2" xfId="86"/>
    <cellStyle name="Comma 2" xfId="87"/>
    <cellStyle name="Ellenőrzőcella" xfId="88"/>
    <cellStyle name="Ellenőrzőcella 2" xfId="89"/>
    <cellStyle name="Ellenőrzőcella 3" xfId="90"/>
    <cellStyle name="Comma" xfId="91"/>
    <cellStyle name="Comma [0]" xfId="92"/>
    <cellStyle name="Ezres 2" xfId="93"/>
    <cellStyle name="Ezres 3" xfId="94"/>
    <cellStyle name="Figyelmeztetés" xfId="95"/>
    <cellStyle name="Figyelmeztetés 2" xfId="96"/>
    <cellStyle name="Hyperlink" xfId="97"/>
    <cellStyle name="Hivatkozott cella" xfId="98"/>
    <cellStyle name="Hivatkozott cella 2" xfId="99"/>
    <cellStyle name="Hyperlink 2" xfId="100"/>
    <cellStyle name="Jegyzet" xfId="101"/>
    <cellStyle name="Jegyzet 2" xfId="102"/>
    <cellStyle name="Jegyzet 3" xfId="103"/>
    <cellStyle name="Jelölőszín (1) 2" xfId="104"/>
    <cellStyle name="Jelölőszín (1) 3" xfId="105"/>
    <cellStyle name="Jelölőszín (2) 2" xfId="106"/>
    <cellStyle name="Jelölőszín (2) 3" xfId="107"/>
    <cellStyle name="Jelölőszín (3) 2" xfId="108"/>
    <cellStyle name="Jelölőszín (3) 3" xfId="109"/>
    <cellStyle name="Jelölőszín (4) 2" xfId="110"/>
    <cellStyle name="Jelölőszín (4) 3" xfId="111"/>
    <cellStyle name="Jelölőszín (5) 2" xfId="112"/>
    <cellStyle name="Jelölőszín (5) 3" xfId="113"/>
    <cellStyle name="Jelölőszín (6) 2" xfId="114"/>
    <cellStyle name="Jelölőszín (6) 3" xfId="115"/>
    <cellStyle name="Jelölőszín 1" xfId="116"/>
    <cellStyle name="Jelölőszín 2" xfId="117"/>
    <cellStyle name="Jelölőszín 3" xfId="118"/>
    <cellStyle name="Jelölőszín 4" xfId="119"/>
    <cellStyle name="Jelölőszín 5" xfId="120"/>
    <cellStyle name="Jelölőszín 6" xfId="121"/>
    <cellStyle name="Jó" xfId="122"/>
    <cellStyle name="Jó 2" xfId="123"/>
    <cellStyle name="Jó 3" xfId="124"/>
    <cellStyle name="Kimenet" xfId="125"/>
    <cellStyle name="Kimenet 2" xfId="126"/>
    <cellStyle name="Kimenet 3" xfId="127"/>
    <cellStyle name="Followed Hyperlink" xfId="128"/>
    <cellStyle name="Magyarázó szöveg" xfId="129"/>
    <cellStyle name="Magyarázó szöveg 2" xfId="130"/>
    <cellStyle name="Normál 10" xfId="131"/>
    <cellStyle name="Normal 2" xfId="132"/>
    <cellStyle name="Normál 2" xfId="133"/>
    <cellStyle name="Normál 2 2" xfId="134"/>
    <cellStyle name="Normál 2 3" xfId="135"/>
    <cellStyle name="Normál 2_ÜHG leltár V1.0 - Budaörs 2016.12.01" xfId="136"/>
    <cellStyle name="Normal 3" xfId="137"/>
    <cellStyle name="Normál 3" xfId="138"/>
    <cellStyle name="Normal 3 2" xfId="139"/>
    <cellStyle name="Normal 4" xfId="140"/>
    <cellStyle name="Normál 4" xfId="141"/>
    <cellStyle name="Normal 4_ÜHG leltár V1.0 - Budaörs 2016.12.01" xfId="142"/>
    <cellStyle name="Normál 5" xfId="143"/>
    <cellStyle name="Normál 6" xfId="144"/>
    <cellStyle name="Normál 7" xfId="145"/>
    <cellStyle name="Normál 8" xfId="146"/>
    <cellStyle name="Normál 9" xfId="147"/>
    <cellStyle name="Normál_bekeveres_atszamitas" xfId="148"/>
    <cellStyle name="Összesen" xfId="149"/>
    <cellStyle name="Összesen 2" xfId="150"/>
    <cellStyle name="Currency" xfId="151"/>
    <cellStyle name="Currency [0]" xfId="152"/>
    <cellStyle name="Pénznem 2" xfId="153"/>
    <cellStyle name="Rossz" xfId="154"/>
    <cellStyle name="Rossz 2" xfId="155"/>
    <cellStyle name="Rossz 3" xfId="156"/>
    <cellStyle name="Semleges" xfId="157"/>
    <cellStyle name="Semleges 2" xfId="158"/>
    <cellStyle name="Semleges 3" xfId="159"/>
    <cellStyle name="Számítás" xfId="160"/>
    <cellStyle name="Számítás 2" xfId="161"/>
    <cellStyle name="Számítás 3" xfId="162"/>
    <cellStyle name="Percent" xfId="163"/>
    <cellStyle name="Százalék 2" xfId="164"/>
    <cellStyle name="Százalék 3" xfId="165"/>
    <cellStyle name="Százalék 4" xfId="166"/>
    <cellStyle name="Százalék 5" xfId="167"/>
    <cellStyle name="Százalék 5 2" xfId="168"/>
    <cellStyle name="Százalék 6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NERGIAKLUB">
      <a:dk1>
        <a:sysClr val="windowText" lastClr="000000"/>
      </a:dk1>
      <a:lt1>
        <a:sysClr val="window" lastClr="FFFFFF"/>
      </a:lt1>
      <a:dk2>
        <a:srgbClr val="00ADDA"/>
      </a:dk2>
      <a:lt2>
        <a:srgbClr val="EEECE1"/>
      </a:lt2>
      <a:accent1>
        <a:srgbClr val="81CAC9"/>
      </a:accent1>
      <a:accent2>
        <a:srgbClr val="FFD300"/>
      </a:accent2>
      <a:accent3>
        <a:srgbClr val="7A93C5"/>
      </a:accent3>
      <a:accent4>
        <a:srgbClr val="94C11C"/>
      </a:accent4>
      <a:accent5>
        <a:srgbClr val="E4240E"/>
      </a:accent5>
      <a:accent6>
        <a:srgbClr val="512383"/>
      </a:accent6>
      <a:hlink>
        <a:srgbClr val="7C003D"/>
      </a:hlink>
      <a:folHlink>
        <a:srgbClr val="512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ipcc.ch/publications_and_data/ar4/wg1/en/ch2s2-10-2.html" TargetMode="Externa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info.ksh.hu/Statinfo/themeSelector.jsp?page=2&amp;szst=UR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M9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2.28125" style="0" customWidth="1"/>
    <col min="2" max="2" width="51.28125" style="0" customWidth="1"/>
    <col min="6" max="6" width="46.57421875" style="0" customWidth="1"/>
  </cols>
  <sheetData>
    <row r="1" spans="1:39" ht="15" customHeight="1">
      <c r="A1" s="253" t="s">
        <v>147</v>
      </c>
      <c r="B1" s="253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1:39" ht="15" customHeight="1">
      <c r="A2" s="253"/>
      <c r="B2" s="253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</row>
    <row r="3" spans="1:39" ht="15" customHeight="1">
      <c r="A3" s="253"/>
      <c r="B3" s="2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39" ht="15" customHeight="1">
      <c r="A4" s="253"/>
      <c r="B4" s="25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</row>
    <row r="5" spans="1:39" ht="15" customHeight="1">
      <c r="A5" s="254" t="s">
        <v>205</v>
      </c>
      <c r="B5" s="254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</row>
    <row r="6" spans="1:39" ht="15" customHeight="1">
      <c r="A6" s="254"/>
      <c r="B6" s="254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</row>
    <row r="7" spans="1:39" ht="1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</row>
    <row r="8" spans="1:39" ht="1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</row>
    <row r="9" spans="1:39" ht="22.5" customHeight="1">
      <c r="A9" s="209" t="s">
        <v>345</v>
      </c>
      <c r="B9" s="210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</row>
    <row r="10" spans="1:39" ht="20.25" customHeight="1">
      <c r="A10" s="209" t="s">
        <v>26</v>
      </c>
      <c r="B10" s="211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</row>
    <row r="11" spans="1:39" ht="20.25" customHeight="1">
      <c r="A11" s="212" t="s">
        <v>346</v>
      </c>
      <c r="B11" s="213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</row>
    <row r="12" spans="1:39" ht="20.25" customHeight="1">
      <c r="A12" s="212" t="s">
        <v>347</v>
      </c>
      <c r="B12" s="214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</row>
    <row r="13" spans="1:39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</row>
    <row r="14" spans="1:39" ht="11.25" customHeight="1">
      <c r="A14" s="108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</row>
    <row r="15" spans="1:39" ht="15" customHeight="1">
      <c r="A15" s="108" t="s">
        <v>27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</row>
    <row r="16" spans="1:39" ht="15" customHeight="1">
      <c r="A16" s="187"/>
      <c r="B16" s="188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</row>
    <row r="17" spans="1:39" ht="15" customHeight="1">
      <c r="A17" s="113"/>
      <c r="B17" s="189" t="s">
        <v>330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</row>
    <row r="18" spans="1:39" ht="15" customHeight="1">
      <c r="A18" s="190"/>
      <c r="B18" s="189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</row>
    <row r="19" spans="1:39" ht="15" customHeight="1">
      <c r="A19" s="114">
        <v>1234</v>
      </c>
      <c r="B19" s="191" t="s">
        <v>66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</row>
    <row r="20" spans="1:39" ht="15" customHeight="1">
      <c r="A20" s="192"/>
      <c r="B20" s="191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15" customHeight="1">
      <c r="A21" s="112">
        <v>0</v>
      </c>
      <c r="B21" s="189" t="s">
        <v>138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</row>
    <row r="22" spans="1:39" ht="15" customHeight="1" thickBot="1">
      <c r="A22" s="190"/>
      <c r="B22" s="18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</row>
    <row r="23" spans="1:39" ht="15" customHeight="1" thickBot="1">
      <c r="A23" s="193">
        <v>1234</v>
      </c>
      <c r="B23" s="189" t="s">
        <v>140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</row>
    <row r="24" spans="1:39" ht="15" customHeight="1" thickBot="1">
      <c r="A24" s="190"/>
      <c r="B24" s="189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</row>
    <row r="25" spans="1:39" ht="15" customHeight="1" thickBot="1">
      <c r="A25" s="194">
        <v>1234</v>
      </c>
      <c r="B25" s="189" t="s">
        <v>141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</row>
    <row r="26" spans="1:39" ht="15" customHeight="1">
      <c r="A26" s="190"/>
      <c r="B26" s="18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</row>
    <row r="27" spans="1:39" ht="15" customHeight="1">
      <c r="A27" s="195" t="s">
        <v>134</v>
      </c>
      <c r="B27" s="189" t="s">
        <v>139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</row>
    <row r="28" spans="1:39" ht="15" customHeight="1">
      <c r="A28" s="196"/>
      <c r="B28" s="19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</row>
    <row r="29" spans="1:39" ht="12.75">
      <c r="A29" s="198"/>
      <c r="B29" s="149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</row>
    <row r="30" spans="1:39" ht="12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  <row r="31" spans="1:39" ht="12.75">
      <c r="A31" s="149" t="s">
        <v>67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</row>
    <row r="32" spans="1:39" ht="12.75">
      <c r="A32" s="109" t="s">
        <v>68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</row>
    <row r="33" spans="1:39" ht="12.75">
      <c r="A33" s="109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</row>
    <row r="34" spans="2:39" ht="12.7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</row>
    <row r="35" spans="1:39" ht="12.75">
      <c r="A35" s="61" t="s">
        <v>147</v>
      </c>
      <c r="B35" s="1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</row>
    <row r="36" spans="1:39" ht="12.75">
      <c r="A36" s="20" t="s">
        <v>399</v>
      </c>
      <c r="B36" s="20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</row>
    <row r="37" spans="1:39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</row>
    <row r="38" spans="1:39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</row>
    <row r="39" spans="1:39" ht="12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</row>
    <row r="40" spans="1:39" ht="12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</row>
    <row r="41" spans="1:39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</row>
    <row r="42" spans="1:39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</row>
    <row r="43" spans="1:39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</row>
    <row r="44" spans="1:39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</row>
    <row r="45" spans="1:39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</row>
    <row r="46" spans="1:39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</row>
    <row r="47" spans="1:39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</row>
    <row r="48" spans="1:39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</row>
    <row r="49" spans="1:39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</row>
    <row r="50" spans="1:39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</row>
    <row r="51" spans="1:39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</row>
    <row r="52" spans="1:39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</row>
    <row r="53" spans="1:39" ht="12.7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</row>
    <row r="54" spans="1:39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</row>
    <row r="55" spans="1:39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</row>
    <row r="56" spans="1:39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</row>
    <row r="57" spans="1:39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</row>
    <row r="58" spans="1:39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</row>
    <row r="59" spans="1:39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</row>
    <row r="60" spans="1:39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</row>
    <row r="61" spans="1:39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</row>
    <row r="62" spans="1:39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</row>
    <row r="63" spans="1:39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</row>
    <row r="64" spans="1:39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</row>
    <row r="65" spans="1:39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</row>
    <row r="66" spans="1:39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</row>
    <row r="67" spans="1:39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</row>
    <row r="68" spans="1:39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</row>
    <row r="69" spans="1:39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</row>
    <row r="70" spans="1:39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</row>
    <row r="71" spans="1:39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</row>
    <row r="72" spans="1:39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</row>
    <row r="73" spans="1:39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</row>
    <row r="74" spans="1:39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</row>
    <row r="75" spans="1:39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</row>
    <row r="76" spans="1:39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</row>
    <row r="77" spans="1:39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</row>
    <row r="78" spans="1:39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</row>
    <row r="79" spans="1:39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</row>
    <row r="80" spans="1:39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</row>
    <row r="81" spans="1:39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</row>
    <row r="82" spans="1:39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</row>
    <row r="83" spans="1:39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</row>
    <row r="84" spans="1:39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</row>
    <row r="85" spans="1:39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</row>
    <row r="86" spans="1:39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</row>
    <row r="87" spans="1:39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</row>
    <row r="88" spans="1:39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</row>
    <row r="89" spans="1:39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</row>
    <row r="90" spans="1:39" ht="12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</row>
    <row r="91" spans="1:39" ht="12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</row>
    <row r="92" spans="1:39" ht="12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</row>
    <row r="93" spans="1:39" ht="12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</row>
    <row r="94" spans="1:39" ht="12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</row>
  </sheetData>
  <sheetProtection formatColumns="0" formatRows="0"/>
  <protectedRanges>
    <protectedRange sqref="A32" name="Tartom?ny1"/>
  </protectedRanges>
  <mergeCells count="2">
    <mergeCell ref="A1:B4"/>
    <mergeCell ref="A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M58"/>
  <sheetViews>
    <sheetView zoomScalePageLayoutView="0" workbookViewId="0" topLeftCell="A34">
      <selection activeCell="E35" sqref="E35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2.7109375" style="0" customWidth="1"/>
    <col min="4" max="4" width="11.140625" style="0" customWidth="1"/>
    <col min="5" max="5" width="11.28125" style="0" customWidth="1"/>
    <col min="6" max="6" width="11.8515625" style="0" customWidth="1"/>
    <col min="7" max="8" width="12.57421875" style="0" customWidth="1"/>
    <col min="9" max="9" width="15.140625" style="0" customWidth="1"/>
    <col min="10" max="10" width="11.28125" style="0" customWidth="1"/>
    <col min="11" max="11" width="17.421875" style="0" customWidth="1"/>
    <col min="12" max="12" width="11.57421875" style="0" customWidth="1"/>
  </cols>
  <sheetData>
    <row r="1" s="16" customFormat="1" ht="12.75"/>
    <row r="2" spans="1:4" s="20" customFormat="1" ht="12.75">
      <c r="A2" s="17" t="s">
        <v>44</v>
      </c>
      <c r="B2" s="18"/>
      <c r="C2" s="19"/>
      <c r="D2" s="19"/>
    </row>
    <row r="3" spans="1:10" ht="12.75">
      <c r="A3" s="4" t="s">
        <v>99</v>
      </c>
      <c r="B3" s="4" t="s">
        <v>104</v>
      </c>
      <c r="C3">
        <v>1</v>
      </c>
      <c r="D3" s="4" t="s">
        <v>105</v>
      </c>
      <c r="E3">
        <v>21</v>
      </c>
      <c r="F3" s="4" t="s">
        <v>106</v>
      </c>
      <c r="G3">
        <v>310</v>
      </c>
      <c r="J3" s="13" t="s">
        <v>49</v>
      </c>
    </row>
    <row r="4" s="21" customFormat="1" ht="12.75"/>
    <row r="5" spans="1:13" s="9" customFormat="1" ht="12" customHeight="1">
      <c r="A5" s="297" t="s">
        <v>55</v>
      </c>
      <c r="B5" s="14"/>
      <c r="J5" s="14"/>
      <c r="L5" s="14"/>
      <c r="M5" s="14"/>
    </row>
    <row r="6" spans="1:13" s="8" customFormat="1" ht="11.25" customHeight="1">
      <c r="A6" s="297"/>
      <c r="B6" s="8" t="s">
        <v>36</v>
      </c>
      <c r="J6" s="8" t="s">
        <v>50</v>
      </c>
      <c r="L6" s="8" t="s">
        <v>48</v>
      </c>
      <c r="M6" s="8" t="s">
        <v>46</v>
      </c>
    </row>
    <row r="7" spans="2:13" ht="12.75">
      <c r="B7" s="4"/>
      <c r="J7" s="4"/>
      <c r="L7" s="4"/>
      <c r="M7" s="4"/>
    </row>
    <row r="8" spans="1:13" ht="12.75">
      <c r="A8" s="21" t="s">
        <v>45</v>
      </c>
      <c r="B8" s="29">
        <v>0.36</v>
      </c>
      <c r="C8" s="4" t="s">
        <v>59</v>
      </c>
      <c r="J8" s="4" t="s">
        <v>47</v>
      </c>
      <c r="L8">
        <v>2013</v>
      </c>
      <c r="M8">
        <v>2015</v>
      </c>
    </row>
    <row r="9" spans="1:13" ht="12.75">
      <c r="A9" s="21" t="s">
        <v>37</v>
      </c>
      <c r="B9" s="5">
        <v>0.202</v>
      </c>
      <c r="C9" s="4" t="s">
        <v>59</v>
      </c>
      <c r="J9" s="4" t="s">
        <v>265</v>
      </c>
      <c r="L9">
        <v>2007</v>
      </c>
      <c r="M9">
        <v>2016</v>
      </c>
    </row>
    <row r="10" spans="1:13" ht="12.75">
      <c r="A10" s="21" t="s">
        <v>128</v>
      </c>
      <c r="B10" s="54">
        <v>0.377</v>
      </c>
      <c r="C10" s="4" t="s">
        <v>59</v>
      </c>
      <c r="J10" s="4" t="s">
        <v>129</v>
      </c>
      <c r="L10">
        <v>2014</v>
      </c>
      <c r="M10">
        <v>2016</v>
      </c>
    </row>
    <row r="11" spans="1:13" ht="12.75">
      <c r="A11" s="21" t="s">
        <v>51</v>
      </c>
      <c r="B11" s="54">
        <v>0.404</v>
      </c>
      <c r="C11" s="4" t="s">
        <v>59</v>
      </c>
      <c r="J11" s="4" t="s">
        <v>129</v>
      </c>
      <c r="L11">
        <v>2014</v>
      </c>
      <c r="M11">
        <v>2016</v>
      </c>
    </row>
    <row r="12" spans="1:13" ht="12.75">
      <c r="A12" s="21" t="s">
        <v>52</v>
      </c>
      <c r="B12" s="22">
        <v>0.26676</v>
      </c>
      <c r="C12" s="4" t="s">
        <v>59</v>
      </c>
      <c r="D12" t="s">
        <v>289</v>
      </c>
      <c r="F12" s="5">
        <v>10.96</v>
      </c>
      <c r="G12" t="s">
        <v>213</v>
      </c>
      <c r="H12" s="5">
        <v>0.010960000000000001</v>
      </c>
      <c r="I12" t="s">
        <v>290</v>
      </c>
      <c r="J12" s="4" t="s">
        <v>265</v>
      </c>
      <c r="L12">
        <v>2007</v>
      </c>
      <c r="M12">
        <v>2016</v>
      </c>
    </row>
    <row r="13" spans="1:13" ht="12.75">
      <c r="A13" s="21" t="s">
        <v>53</v>
      </c>
      <c r="B13" s="22">
        <v>0.24948</v>
      </c>
      <c r="C13" s="4" t="s">
        <v>59</v>
      </c>
      <c r="D13" t="s">
        <v>289</v>
      </c>
      <c r="F13" s="5">
        <v>9.61</v>
      </c>
      <c r="G13" t="s">
        <v>213</v>
      </c>
      <c r="H13" s="5">
        <v>0.009609999999999999</v>
      </c>
      <c r="I13" t="s">
        <v>290</v>
      </c>
      <c r="J13" s="4" t="s">
        <v>265</v>
      </c>
      <c r="L13">
        <v>2007</v>
      </c>
      <c r="M13">
        <v>2016</v>
      </c>
    </row>
    <row r="14" spans="1:13" ht="12.75">
      <c r="A14" s="21" t="s">
        <v>38</v>
      </c>
      <c r="B14" s="5">
        <v>0.007</v>
      </c>
      <c r="C14" s="4" t="s">
        <v>59</v>
      </c>
      <c r="J14" s="4" t="s">
        <v>265</v>
      </c>
      <c r="L14">
        <v>2007</v>
      </c>
      <c r="M14">
        <v>2016</v>
      </c>
    </row>
    <row r="15" spans="1:13" ht="12.75">
      <c r="A15" s="21" t="s">
        <v>130</v>
      </c>
      <c r="B15" s="5">
        <v>0.204</v>
      </c>
      <c r="C15" s="4" t="s">
        <v>59</v>
      </c>
      <c r="J15" s="4" t="s">
        <v>129</v>
      </c>
      <c r="L15">
        <v>2014</v>
      </c>
      <c r="M15">
        <v>2016</v>
      </c>
    </row>
    <row r="16" spans="1:13" ht="12.75">
      <c r="A16" s="21" t="s">
        <v>54</v>
      </c>
      <c r="B16" s="23">
        <v>0</v>
      </c>
      <c r="C16" s="4" t="s">
        <v>59</v>
      </c>
      <c r="J16" s="4" t="s">
        <v>265</v>
      </c>
      <c r="L16">
        <v>2007</v>
      </c>
      <c r="M16">
        <v>2016</v>
      </c>
    </row>
    <row r="17" spans="1:13" ht="12.75">
      <c r="A17" s="21" t="s">
        <v>57</v>
      </c>
      <c r="B17" s="23">
        <v>0</v>
      </c>
      <c r="C17" s="4" t="s">
        <v>59</v>
      </c>
      <c r="J17" s="4" t="s">
        <v>265</v>
      </c>
      <c r="L17">
        <v>2007</v>
      </c>
      <c r="M17">
        <v>2016</v>
      </c>
    </row>
    <row r="18" spans="1:13" ht="12.75">
      <c r="A18" s="21" t="s">
        <v>132</v>
      </c>
      <c r="B18" s="23">
        <v>0.337</v>
      </c>
      <c r="C18" s="4" t="s">
        <v>59</v>
      </c>
      <c r="J18" s="4" t="s">
        <v>265</v>
      </c>
      <c r="L18">
        <v>2007</v>
      </c>
      <c r="M18">
        <v>2016</v>
      </c>
    </row>
    <row r="20" spans="1:10" s="9" customFormat="1" ht="12.75">
      <c r="A20" s="297" t="s">
        <v>204</v>
      </c>
      <c r="B20" s="14"/>
      <c r="G20" s="14"/>
      <c r="H20" s="14"/>
      <c r="I20" s="14"/>
      <c r="J20" s="14"/>
    </row>
    <row r="21" spans="1:13" s="9" customFormat="1" ht="12.75">
      <c r="A21" s="297"/>
      <c r="B21" s="8" t="s">
        <v>36</v>
      </c>
      <c r="D21" s="8"/>
      <c r="F21" s="8"/>
      <c r="H21" s="8"/>
      <c r="J21" s="8" t="s">
        <v>50</v>
      </c>
      <c r="L21" s="8" t="s">
        <v>48</v>
      </c>
      <c r="M21" s="8" t="s">
        <v>46</v>
      </c>
    </row>
    <row r="24" spans="2:3" ht="51">
      <c r="B24" s="120" t="s">
        <v>266</v>
      </c>
      <c r="C24" s="120" t="s">
        <v>267</v>
      </c>
    </row>
    <row r="25" spans="1:13" ht="12.75">
      <c r="A25" t="s">
        <v>268</v>
      </c>
      <c r="B25" s="154">
        <v>7.86</v>
      </c>
      <c r="C25" s="155">
        <v>6.8</v>
      </c>
      <c r="J25" s="4" t="s">
        <v>279</v>
      </c>
      <c r="L25">
        <v>2011</v>
      </c>
      <c r="M25">
        <v>2016</v>
      </c>
    </row>
    <row r="26" spans="1:13" ht="12.75">
      <c r="A26" t="s">
        <v>269</v>
      </c>
      <c r="B26">
        <v>10.3</v>
      </c>
      <c r="C26">
        <v>11.97</v>
      </c>
      <c r="J26" s="4" t="s">
        <v>279</v>
      </c>
      <c r="L26">
        <v>2011</v>
      </c>
      <c r="M26">
        <v>2016</v>
      </c>
    </row>
    <row r="27" spans="1:13" ht="12.75">
      <c r="A27" t="s">
        <v>270</v>
      </c>
      <c r="C27">
        <v>30.62</v>
      </c>
      <c r="J27" s="4" t="s">
        <v>279</v>
      </c>
      <c r="L27">
        <v>2011</v>
      </c>
      <c r="M27">
        <v>2016</v>
      </c>
    </row>
    <row r="28" spans="1:13" ht="12.75">
      <c r="A28" t="s">
        <v>271</v>
      </c>
      <c r="C28">
        <v>30.62</v>
      </c>
      <c r="J28" s="4" t="s">
        <v>279</v>
      </c>
      <c r="L28">
        <v>2011</v>
      </c>
      <c r="M28">
        <v>2016</v>
      </c>
    </row>
    <row r="29" spans="1:13" ht="12.75">
      <c r="A29" t="s">
        <v>272</v>
      </c>
      <c r="C29">
        <v>25.8</v>
      </c>
      <c r="J29" s="4" t="s">
        <v>279</v>
      </c>
      <c r="L29">
        <v>2011</v>
      </c>
      <c r="M29">
        <v>2016</v>
      </c>
    </row>
    <row r="30" spans="1:13" ht="12.75">
      <c r="A30" t="s">
        <v>273</v>
      </c>
      <c r="C30">
        <v>25.8</v>
      </c>
      <c r="J30" s="4" t="s">
        <v>279</v>
      </c>
      <c r="L30">
        <v>2011</v>
      </c>
      <c r="M30">
        <v>2016</v>
      </c>
    </row>
    <row r="31" spans="1:13" ht="12.75">
      <c r="A31" t="s">
        <v>274</v>
      </c>
      <c r="C31">
        <v>41.9</v>
      </c>
      <c r="J31" s="4" t="s">
        <v>279</v>
      </c>
      <c r="L31">
        <v>2011</v>
      </c>
      <c r="M31">
        <v>2016</v>
      </c>
    </row>
    <row r="32" spans="1:13" ht="12.75">
      <c r="A32" t="s">
        <v>275</v>
      </c>
      <c r="C32">
        <v>41.9</v>
      </c>
      <c r="J32" s="4" t="s">
        <v>279</v>
      </c>
      <c r="L32">
        <v>2011</v>
      </c>
      <c r="M32">
        <v>2016</v>
      </c>
    </row>
    <row r="33" spans="1:13" s="98" customFormat="1" ht="12.75">
      <c r="A33" t="s">
        <v>276</v>
      </c>
      <c r="B33"/>
      <c r="C33">
        <v>25.8</v>
      </c>
      <c r="J33" s="4" t="s">
        <v>279</v>
      </c>
      <c r="K33"/>
      <c r="L33">
        <v>2011</v>
      </c>
      <c r="M33">
        <v>2016</v>
      </c>
    </row>
    <row r="34" spans="1:13" s="98" customFormat="1" ht="12.75">
      <c r="A34" t="s">
        <v>277</v>
      </c>
      <c r="B34">
        <v>3</v>
      </c>
      <c r="C34"/>
      <c r="J34" s="4" t="s">
        <v>279</v>
      </c>
      <c r="K34"/>
      <c r="L34">
        <v>2011</v>
      </c>
      <c r="M34">
        <v>2016</v>
      </c>
    </row>
    <row r="35" spans="1:13" s="98" customFormat="1" ht="12.75">
      <c r="A35" t="s">
        <v>278</v>
      </c>
      <c r="B35"/>
      <c r="C35">
        <v>25.8</v>
      </c>
      <c r="J35" s="4" t="s">
        <v>279</v>
      </c>
      <c r="K35"/>
      <c r="L35">
        <v>2011</v>
      </c>
      <c r="M35">
        <v>2016</v>
      </c>
    </row>
    <row r="37" spans="1:10" s="9" customFormat="1" ht="12.75">
      <c r="A37" s="297" t="s">
        <v>90</v>
      </c>
      <c r="B37" s="14"/>
      <c r="G37" s="14"/>
      <c r="H37" s="14"/>
      <c r="I37" s="14"/>
      <c r="J37" s="14"/>
    </row>
    <row r="38" spans="1:13" s="9" customFormat="1" ht="12.75">
      <c r="A38" s="297"/>
      <c r="B38" s="8" t="s">
        <v>69</v>
      </c>
      <c r="D38" s="8" t="s">
        <v>94</v>
      </c>
      <c r="F38" s="8" t="s">
        <v>70</v>
      </c>
      <c r="H38" s="8" t="s">
        <v>95</v>
      </c>
      <c r="J38" s="8" t="s">
        <v>50</v>
      </c>
      <c r="L38" s="8" t="s">
        <v>48</v>
      </c>
      <c r="M38" s="8" t="s">
        <v>46</v>
      </c>
    </row>
    <row r="40" spans="1:13" ht="12.75">
      <c r="A40" s="4" t="s">
        <v>96</v>
      </c>
      <c r="B40" s="52">
        <f>130.517827991266/1000</f>
        <v>0.130517827991266</v>
      </c>
      <c r="C40" s="4" t="s">
        <v>98</v>
      </c>
      <c r="D40" s="52">
        <f>B40*E$3</f>
        <v>2.7408743878165858</v>
      </c>
      <c r="E40" s="4" t="s">
        <v>107</v>
      </c>
      <c r="J40" s="4" t="s">
        <v>100</v>
      </c>
      <c r="L40">
        <v>2014</v>
      </c>
      <c r="M40">
        <v>2016</v>
      </c>
    </row>
    <row r="41" spans="1:13" ht="12.75">
      <c r="A41" s="4" t="s">
        <v>97</v>
      </c>
      <c r="B41" s="52">
        <f>55.3180381396268/1000</f>
        <v>0.0553180381396268</v>
      </c>
      <c r="C41" s="4" t="s">
        <v>98</v>
      </c>
      <c r="D41" s="52">
        <f>B41*E$3</f>
        <v>1.1616788009321628</v>
      </c>
      <c r="E41" s="4" t="s">
        <v>107</v>
      </c>
      <c r="J41" s="4" t="s">
        <v>100</v>
      </c>
      <c r="L41">
        <v>2014</v>
      </c>
      <c r="M41">
        <v>2016</v>
      </c>
    </row>
    <row r="42" spans="1:13" ht="12.75">
      <c r="A42" s="4" t="s">
        <v>406</v>
      </c>
      <c r="B42" s="52">
        <v>0.008</v>
      </c>
      <c r="C42" s="4" t="s">
        <v>98</v>
      </c>
      <c r="D42" s="52">
        <f>B42*E$3</f>
        <v>0.168</v>
      </c>
      <c r="E42" s="4" t="s">
        <v>107</v>
      </c>
      <c r="J42" s="4" t="s">
        <v>100</v>
      </c>
      <c r="L42">
        <v>2014</v>
      </c>
      <c r="M42">
        <v>2016</v>
      </c>
    </row>
    <row r="43" spans="1:13" ht="12.75">
      <c r="A43" s="4" t="s">
        <v>101</v>
      </c>
      <c r="B43" s="52">
        <f>30.93393799847/1000</f>
        <v>0.03093393799847</v>
      </c>
      <c r="C43" s="4" t="s">
        <v>98</v>
      </c>
      <c r="D43" s="52">
        <f>B43*E$3</f>
        <v>0.64961269796787</v>
      </c>
      <c r="E43" s="4" t="s">
        <v>107</v>
      </c>
      <c r="F43" s="52">
        <f>1.09832427200293/1000</f>
        <v>0.00109832427200293</v>
      </c>
      <c r="G43" s="4" t="s">
        <v>108</v>
      </c>
      <c r="H43" s="52">
        <f>F43*G$3</f>
        <v>0.3404805243209083</v>
      </c>
      <c r="I43" s="4" t="s">
        <v>107</v>
      </c>
      <c r="J43" s="4" t="s">
        <v>100</v>
      </c>
      <c r="L43">
        <v>2014</v>
      </c>
      <c r="M43">
        <v>2016</v>
      </c>
    </row>
    <row r="44" spans="1:13" ht="12.75">
      <c r="A44" s="4" t="s">
        <v>102</v>
      </c>
      <c r="B44" s="52">
        <f>8.82615686989816/1000</f>
        <v>0.00882615686989816</v>
      </c>
      <c r="C44" s="4" t="s">
        <v>98</v>
      </c>
      <c r="D44" s="52">
        <f>B44*E$3</f>
        <v>0.18534929426786137</v>
      </c>
      <c r="E44" s="4" t="s">
        <v>107</v>
      </c>
      <c r="F44" s="52">
        <f>0.47172870811546/1000</f>
        <v>0.00047172870811546</v>
      </c>
      <c r="G44" s="4" t="s">
        <v>108</v>
      </c>
      <c r="H44" s="52">
        <f>F44*G$3</f>
        <v>0.1462358995157926</v>
      </c>
      <c r="I44" s="4" t="s">
        <v>107</v>
      </c>
      <c r="J44" s="4" t="s">
        <v>100</v>
      </c>
      <c r="L44">
        <v>2014</v>
      </c>
      <c r="M44">
        <v>2016</v>
      </c>
    </row>
    <row r="45" spans="1:13" ht="12.75">
      <c r="A45" s="4" t="s">
        <v>103</v>
      </c>
      <c r="B45" s="52">
        <f>11580/3064900</f>
        <v>0.0037782635648797675</v>
      </c>
      <c r="C45" s="4" t="s">
        <v>98</v>
      </c>
      <c r="D45" s="52">
        <f>B45*E3</f>
        <v>0.07934353486247511</v>
      </c>
      <c r="E45" s="4" t="s">
        <v>107</v>
      </c>
      <c r="F45" s="55">
        <f>0.06298561027788/1000</f>
        <v>6.298561027788E-05</v>
      </c>
      <c r="G45" s="4" t="s">
        <v>108</v>
      </c>
      <c r="H45" s="52">
        <f>F45*G$3</f>
        <v>0.0195255391861428</v>
      </c>
      <c r="I45" s="4" t="s">
        <v>107</v>
      </c>
      <c r="J45" s="4" t="s">
        <v>100</v>
      </c>
      <c r="L45">
        <v>2014</v>
      </c>
      <c r="M45">
        <v>2016</v>
      </c>
    </row>
    <row r="46" spans="1:13" ht="12.75">
      <c r="A46" s="4" t="s">
        <v>283</v>
      </c>
      <c r="B46" s="52">
        <f>0.0294341049607/1000</f>
        <v>2.9434104960700003E-05</v>
      </c>
      <c r="C46" s="4" t="s">
        <v>98</v>
      </c>
      <c r="D46" s="52">
        <f>B46*E3</f>
        <v>0.0006181162041747001</v>
      </c>
      <c r="E46" s="4" t="s">
        <v>107</v>
      </c>
      <c r="F46" s="55">
        <f>0.00144100010165/1000</f>
        <v>1.44100010165E-06</v>
      </c>
      <c r="G46" s="4" t="s">
        <v>108</v>
      </c>
      <c r="H46" s="156">
        <f>F46*G3</f>
        <v>0.0004467100315115</v>
      </c>
      <c r="I46" s="4" t="s">
        <v>107</v>
      </c>
      <c r="J46" s="4" t="s">
        <v>100</v>
      </c>
      <c r="L46">
        <v>2014</v>
      </c>
      <c r="M46">
        <v>2016</v>
      </c>
    </row>
    <row r="47" spans="1:13" ht="12.75">
      <c r="A47" s="4" t="s">
        <v>118</v>
      </c>
      <c r="H47" s="52">
        <v>0.3284</v>
      </c>
      <c r="I47" s="4" t="s">
        <v>119</v>
      </c>
      <c r="J47" s="4" t="s">
        <v>157</v>
      </c>
      <c r="L47">
        <v>2014</v>
      </c>
      <c r="M47">
        <v>2016</v>
      </c>
    </row>
    <row r="49" spans="1:10" s="9" customFormat="1" ht="12.75">
      <c r="A49" s="297" t="s">
        <v>120</v>
      </c>
      <c r="F49" s="14"/>
      <c r="J49" s="14"/>
    </row>
    <row r="50" spans="1:13" s="9" customFormat="1" ht="12.75">
      <c r="A50" s="297"/>
      <c r="B50" s="8" t="s">
        <v>36</v>
      </c>
      <c r="E50" s="8" t="s">
        <v>94</v>
      </c>
      <c r="H50" s="8" t="s">
        <v>94</v>
      </c>
      <c r="J50" s="8" t="s">
        <v>50</v>
      </c>
      <c r="L50" s="8" t="s">
        <v>48</v>
      </c>
      <c r="M50" s="8" t="s">
        <v>46</v>
      </c>
    </row>
    <row r="52" spans="1:13" ht="12.75">
      <c r="A52" t="s">
        <v>121</v>
      </c>
      <c r="F52">
        <f>0.05</f>
        <v>0.05</v>
      </c>
      <c r="G52" t="s">
        <v>122</v>
      </c>
      <c r="H52" s="52">
        <f>F52*E3</f>
        <v>1.05</v>
      </c>
      <c r="I52" t="s">
        <v>123</v>
      </c>
      <c r="J52" s="4" t="s">
        <v>100</v>
      </c>
      <c r="L52">
        <v>2014</v>
      </c>
      <c r="M52">
        <v>2016</v>
      </c>
    </row>
    <row r="54" spans="1:13" ht="12.75">
      <c r="A54" s="297" t="s">
        <v>243</v>
      </c>
      <c r="B54" s="9"/>
      <c r="C54" s="9"/>
      <c r="D54" s="9"/>
      <c r="E54" s="9"/>
      <c r="F54" s="14"/>
      <c r="G54" s="9"/>
      <c r="H54" s="9"/>
      <c r="I54" s="9"/>
      <c r="J54" s="14"/>
      <c r="K54" s="9"/>
      <c r="L54" s="9"/>
      <c r="M54" s="9"/>
    </row>
    <row r="55" spans="1:13" ht="12.75">
      <c r="A55" s="297"/>
      <c r="B55" s="8" t="s">
        <v>36</v>
      </c>
      <c r="C55" s="9"/>
      <c r="D55" s="9"/>
      <c r="E55" s="9"/>
      <c r="F55" s="8"/>
      <c r="G55" s="9"/>
      <c r="H55" s="8"/>
      <c r="I55" s="9"/>
      <c r="J55" s="8" t="s">
        <v>50</v>
      </c>
      <c r="K55" s="9"/>
      <c r="L55" s="8" t="s">
        <v>48</v>
      </c>
      <c r="M55" s="8" t="s">
        <v>46</v>
      </c>
    </row>
    <row r="57" spans="1:13" ht="12.75">
      <c r="A57" s="4" t="s">
        <v>244</v>
      </c>
      <c r="B57" s="151">
        <v>-1.58</v>
      </c>
      <c r="C57" s="150" t="s">
        <v>245</v>
      </c>
      <c r="J57" s="30" t="s">
        <v>100</v>
      </c>
      <c r="K57" s="57"/>
      <c r="L57" s="57">
        <v>2014</v>
      </c>
      <c r="M57" s="57">
        <v>2016</v>
      </c>
    </row>
    <row r="58" spans="1:13" ht="12.75">
      <c r="A58" s="4" t="s">
        <v>358</v>
      </c>
      <c r="B58" s="151">
        <v>-0.8</v>
      </c>
      <c r="C58" s="150" t="s">
        <v>245</v>
      </c>
      <c r="J58" s="30" t="s">
        <v>246</v>
      </c>
      <c r="K58" s="57"/>
      <c r="L58" s="57">
        <v>2012</v>
      </c>
      <c r="M58" s="57">
        <v>2016</v>
      </c>
    </row>
  </sheetData>
  <sheetProtection password="FA7E" sheet="1" formatColumns="0" formatRows="0"/>
  <protectedRanges>
    <protectedRange sqref="B8 J8:M8 J3 J57:M58 B57:B58" name="Tartom?ny1"/>
  </protectedRanges>
  <mergeCells count="5">
    <mergeCell ref="A54:A55"/>
    <mergeCell ref="A5:A6"/>
    <mergeCell ref="A37:A38"/>
    <mergeCell ref="A49:A50"/>
    <mergeCell ref="A20:A21"/>
  </mergeCells>
  <hyperlinks>
    <hyperlink ref="J3" r:id="rId1" display="https://www.ipcc.ch/publications_and_data/ar4/wg1/en/ch2s2-10-2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V78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0.421875" style="0" customWidth="1"/>
    <col min="3" max="3" width="18.421875" style="0" customWidth="1"/>
    <col min="4" max="4" width="12.7109375" style="0" customWidth="1"/>
    <col min="5" max="5" width="14.421875" style="0" customWidth="1"/>
    <col min="6" max="6" width="14.57421875" style="0" customWidth="1"/>
    <col min="7" max="7" width="13.7109375" style="0" customWidth="1"/>
    <col min="8" max="8" width="14.7109375" style="0" customWidth="1"/>
    <col min="9" max="9" width="14.00390625" style="0" customWidth="1"/>
    <col min="10" max="10" width="16.421875" style="0" customWidth="1"/>
    <col min="12" max="12" width="14.140625" style="0" customWidth="1"/>
    <col min="13" max="13" width="6.8515625" style="0" customWidth="1"/>
    <col min="14" max="14" width="9.57421875" style="0" bestFit="1" customWidth="1"/>
  </cols>
  <sheetData>
    <row r="1" spans="1:12" s="200" customFormat="1" ht="28.5" customHeight="1" thickBot="1">
      <c r="A1" s="199" t="s">
        <v>331</v>
      </c>
      <c r="L1" s="201" t="s">
        <v>109</v>
      </c>
    </row>
    <row r="2" spans="1:13" s="203" customFormat="1" ht="15" thickBot="1">
      <c r="A2" s="202"/>
      <c r="K2" s="204" t="s">
        <v>71</v>
      </c>
      <c r="L2" s="64" t="e">
        <f>L5+L15+L26+L50</f>
        <v>#DIV/0!</v>
      </c>
      <c r="M2" s="204" t="s">
        <v>359</v>
      </c>
    </row>
    <row r="4" spans="1:12" s="10" customFormat="1" ht="28.5" customHeight="1" thickBot="1">
      <c r="A4" s="61" t="s">
        <v>76</v>
      </c>
      <c r="E4" s="61" t="s">
        <v>14</v>
      </c>
      <c r="F4" s="61" t="s">
        <v>15</v>
      </c>
      <c r="G4" s="61" t="s">
        <v>16</v>
      </c>
      <c r="H4" s="61" t="s">
        <v>17</v>
      </c>
      <c r="I4" s="61" t="s">
        <v>18</v>
      </c>
      <c r="J4" s="61" t="s">
        <v>19</v>
      </c>
      <c r="L4" s="61" t="s">
        <v>35</v>
      </c>
    </row>
    <row r="5" spans="4:13" s="10" customFormat="1" ht="15" thickBot="1">
      <c r="D5" s="61" t="s">
        <v>71</v>
      </c>
      <c r="E5" s="71">
        <f>C$10*'emissziós faktorok'!B8</f>
        <v>0</v>
      </c>
      <c r="F5" s="64">
        <f>D$10*'emissziós faktorok'!B8</f>
        <v>0</v>
      </c>
      <c r="G5" s="72">
        <f>E$10*'emissziós faktorok'!B8</f>
        <v>0</v>
      </c>
      <c r="H5" s="64">
        <f>F$10*'emissziós faktorok'!B8</f>
        <v>0</v>
      </c>
      <c r="I5" s="72">
        <f>H$10*'emissziós faktorok'!B8</f>
        <v>0</v>
      </c>
      <c r="J5" s="64">
        <f>G$10*'emissziós faktorok'!B8</f>
        <v>0</v>
      </c>
      <c r="K5" s="61" t="s">
        <v>359</v>
      </c>
      <c r="L5" s="64">
        <f>SUM(E5:J5)</f>
        <v>0</v>
      </c>
      <c r="M5" s="61" t="s">
        <v>359</v>
      </c>
    </row>
    <row r="6" ht="12.75">
      <c r="A6" s="24" t="s">
        <v>124</v>
      </c>
    </row>
    <row r="8" spans="1:8" ht="25.5" customHeight="1">
      <c r="A8" s="266" t="s">
        <v>3</v>
      </c>
      <c r="B8" s="1" t="s">
        <v>4</v>
      </c>
      <c r="C8" s="3" t="s">
        <v>28</v>
      </c>
      <c r="D8" s="2" t="s">
        <v>5</v>
      </c>
      <c r="E8" s="3" t="s">
        <v>20</v>
      </c>
      <c r="F8" s="2" t="s">
        <v>6</v>
      </c>
      <c r="G8" s="2" t="s">
        <v>7</v>
      </c>
      <c r="H8" s="2" t="s">
        <v>8</v>
      </c>
    </row>
    <row r="9" spans="1:8" ht="12.75">
      <c r="A9" s="267"/>
      <c r="B9" s="268" t="s">
        <v>65</v>
      </c>
      <c r="C9" s="269"/>
      <c r="D9" s="269"/>
      <c r="E9" s="269"/>
      <c r="F9" s="269"/>
      <c r="G9" s="269"/>
      <c r="H9" s="270"/>
    </row>
    <row r="10" spans="1:8" ht="12.75">
      <c r="A10" s="25"/>
      <c r="B10" s="26"/>
      <c r="C10" s="26"/>
      <c r="D10" s="26"/>
      <c r="E10" s="26"/>
      <c r="F10" s="26"/>
      <c r="G10" s="26"/>
      <c r="H10" s="26"/>
    </row>
    <row r="13" ht="12" customHeight="1"/>
    <row r="14" spans="1:12" s="10" customFormat="1" ht="29.25" customHeight="1" thickBot="1">
      <c r="A14" s="61" t="s">
        <v>334</v>
      </c>
      <c r="E14" s="61" t="s">
        <v>14</v>
      </c>
      <c r="F14" s="61" t="s">
        <v>15</v>
      </c>
      <c r="G14" s="61" t="s">
        <v>17</v>
      </c>
      <c r="H14" s="61" t="s">
        <v>18</v>
      </c>
      <c r="I14" s="61" t="s">
        <v>19</v>
      </c>
      <c r="L14" s="61" t="s">
        <v>35</v>
      </c>
    </row>
    <row r="15" spans="1:13" s="10" customFormat="1" ht="12.75" customHeight="1" thickBot="1">
      <c r="A15" s="61"/>
      <c r="D15" s="61" t="s">
        <v>71</v>
      </c>
      <c r="E15" s="71">
        <f>E$21*K$20/3.6*'emissziós faktorok'!B9</f>
        <v>0</v>
      </c>
      <c r="F15" s="71">
        <f>(B$21+C$21)*$K$20/3.6*'emissziós faktorok'!B9</f>
        <v>0</v>
      </c>
      <c r="G15" s="71">
        <f>F$21*$K$20/3.6*'emissziós faktorok'!B9</f>
        <v>0</v>
      </c>
      <c r="H15" s="71">
        <f>(D21+H$21)*$K$20/3.6*'emissziós faktorok'!B9</f>
        <v>0</v>
      </c>
      <c r="I15" s="64">
        <f>G$21*$K$20/3.6*'emissziós faktorok'!B9</f>
        <v>0</v>
      </c>
      <c r="J15" s="61" t="s">
        <v>359</v>
      </c>
      <c r="L15" s="64">
        <f>SUM(E15:I15)</f>
        <v>0</v>
      </c>
      <c r="M15" s="61" t="s">
        <v>359</v>
      </c>
    </row>
    <row r="16" spans="1:256" s="10" customFormat="1" ht="12.75" customHeight="1">
      <c r="A16" s="24" t="s">
        <v>203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0" customFormat="1" ht="12.75" customHeight="1">
      <c r="A17" s="118" t="s">
        <v>202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9" spans="1:12" ht="12.75" customHeight="1">
      <c r="A19" s="258" t="s">
        <v>3</v>
      </c>
      <c r="B19" s="260" t="s">
        <v>64</v>
      </c>
      <c r="C19" s="261"/>
      <c r="D19" s="261"/>
      <c r="E19" s="261"/>
      <c r="F19" s="261"/>
      <c r="G19" s="261"/>
      <c r="H19" s="261"/>
      <c r="I19" s="262"/>
      <c r="K19" s="12" t="s">
        <v>22</v>
      </c>
      <c r="L19" s="12"/>
    </row>
    <row r="20" spans="1:12" ht="38.25">
      <c r="A20" s="259"/>
      <c r="B20" s="2" t="s">
        <v>9</v>
      </c>
      <c r="C20" s="3" t="s">
        <v>24</v>
      </c>
      <c r="D20" s="3" t="s">
        <v>25</v>
      </c>
      <c r="E20" s="2" t="s">
        <v>10</v>
      </c>
      <c r="F20" s="2" t="s">
        <v>11</v>
      </c>
      <c r="G20" s="2" t="s">
        <v>12</v>
      </c>
      <c r="H20" s="2" t="s">
        <v>13</v>
      </c>
      <c r="I20" s="2" t="s">
        <v>1</v>
      </c>
      <c r="K20" s="15">
        <v>34</v>
      </c>
      <c r="L20" s="12" t="s">
        <v>23</v>
      </c>
    </row>
    <row r="21" spans="1:12" ht="36" customHeight="1">
      <c r="A21" s="27"/>
      <c r="B21" s="60"/>
      <c r="C21" s="60"/>
      <c r="D21" s="60"/>
      <c r="E21" s="60"/>
      <c r="F21" s="60"/>
      <c r="G21" s="60"/>
      <c r="H21" s="60"/>
      <c r="I21" s="60"/>
      <c r="K21" s="12" t="s">
        <v>29</v>
      </c>
      <c r="L21" s="12" t="s">
        <v>30</v>
      </c>
    </row>
    <row r="25" spans="1:12" s="10" customFormat="1" ht="29.25" customHeight="1" thickBot="1">
      <c r="A25" s="61" t="s">
        <v>77</v>
      </c>
      <c r="E25" s="61" t="s">
        <v>14</v>
      </c>
      <c r="F25" s="61" t="s">
        <v>15</v>
      </c>
      <c r="G25" s="61" t="s">
        <v>17</v>
      </c>
      <c r="H25" s="61" t="s">
        <v>18</v>
      </c>
      <c r="I25" s="61" t="s">
        <v>19</v>
      </c>
      <c r="L25" s="61" t="s">
        <v>35</v>
      </c>
    </row>
    <row r="26" spans="1:13" s="10" customFormat="1" ht="12.75" customHeight="1" thickBot="1">
      <c r="A26" s="61"/>
      <c r="D26" s="61" t="s">
        <v>71</v>
      </c>
      <c r="E26" s="71">
        <f>A31*'1. ENERGIAFOGYASZTÁS'!F31</f>
        <v>0</v>
      </c>
      <c r="F26" s="71">
        <f>A33*'1. ENERGIAFOGYASZTÁS'!F31</f>
        <v>0</v>
      </c>
      <c r="G26" s="71">
        <f>A35*'1. ENERGIAFOGYASZTÁS'!F31</f>
        <v>0</v>
      </c>
      <c r="H26" s="71">
        <f>A37*'1. ENERGIAFOGYASZTÁS'!F31</f>
        <v>0</v>
      </c>
      <c r="I26" s="64">
        <f>A39*'1. ENERGIAFOGYASZTÁS'!F31</f>
        <v>0</v>
      </c>
      <c r="J26" s="61" t="s">
        <v>359</v>
      </c>
      <c r="L26" s="64">
        <f>SUM(E26:I26)</f>
        <v>0</v>
      </c>
      <c r="M26" s="61" t="s">
        <v>359</v>
      </c>
    </row>
    <row r="27" ht="12.75">
      <c r="A27" s="24" t="s">
        <v>63</v>
      </c>
    </row>
    <row r="28" ht="12.75">
      <c r="A28" s="24" t="s">
        <v>133</v>
      </c>
    </row>
    <row r="30" spans="1:5" ht="12.75" customHeight="1">
      <c r="A30" s="4" t="s">
        <v>39</v>
      </c>
      <c r="D30" s="271" t="s">
        <v>158</v>
      </c>
      <c r="E30" s="271"/>
    </row>
    <row r="31" spans="1:7" ht="15.75">
      <c r="A31" s="25"/>
      <c r="B31" s="4" t="s">
        <v>21</v>
      </c>
      <c r="D31" s="271"/>
      <c r="E31" s="271"/>
      <c r="F31" s="23">
        <f>F45</f>
        <v>0</v>
      </c>
      <c r="G31" s="4" t="s">
        <v>386</v>
      </c>
    </row>
    <row r="32" spans="1:4" ht="12.75">
      <c r="A32" s="4" t="s">
        <v>40</v>
      </c>
      <c r="D32" s="96"/>
    </row>
    <row r="33" spans="1:8" ht="12.75">
      <c r="A33" s="25"/>
      <c r="B33" s="4" t="s">
        <v>21</v>
      </c>
      <c r="D33" s="123" t="s">
        <v>62</v>
      </c>
      <c r="E33" s="124"/>
      <c r="F33" s="124"/>
      <c r="G33" s="124"/>
      <c r="H33" s="97"/>
    </row>
    <row r="34" spans="1:8" ht="12.75">
      <c r="A34" s="12" t="s">
        <v>41</v>
      </c>
      <c r="B34" s="12"/>
      <c r="D34" s="125" t="s">
        <v>56</v>
      </c>
      <c r="E34" s="98"/>
      <c r="F34" s="98"/>
      <c r="G34" s="98"/>
      <c r="H34" s="99"/>
    </row>
    <row r="35" spans="1:8" ht="12.75">
      <c r="A35" s="106"/>
      <c r="B35" s="12" t="s">
        <v>21</v>
      </c>
      <c r="D35" s="272" t="s">
        <v>37</v>
      </c>
      <c r="E35" s="273"/>
      <c r="F35" s="74">
        <v>1</v>
      </c>
      <c r="G35" s="98"/>
      <c r="H35" s="99"/>
    </row>
    <row r="36" spans="1:8" ht="12.75">
      <c r="A36" s="12" t="s">
        <v>42</v>
      </c>
      <c r="B36" s="12"/>
      <c r="D36" s="272" t="s">
        <v>38</v>
      </c>
      <c r="E36" s="273"/>
      <c r="F36" s="74">
        <v>0</v>
      </c>
      <c r="G36" s="98"/>
      <c r="H36" s="99"/>
    </row>
    <row r="37" spans="1:8" ht="12.75">
      <c r="A37" s="106"/>
      <c r="B37" s="12" t="s">
        <v>21</v>
      </c>
      <c r="D37" s="272" t="s">
        <v>57</v>
      </c>
      <c r="E37" s="273"/>
      <c r="F37" s="74">
        <v>0</v>
      </c>
      <c r="G37" s="98"/>
      <c r="H37" s="99"/>
    </row>
    <row r="38" spans="1:8" ht="12.75">
      <c r="A38" s="12" t="s">
        <v>43</v>
      </c>
      <c r="B38" s="12"/>
      <c r="D38" s="272" t="s">
        <v>2</v>
      </c>
      <c r="E38" s="273"/>
      <c r="F38" s="74">
        <v>0</v>
      </c>
      <c r="G38" s="98"/>
      <c r="H38" s="99"/>
    </row>
    <row r="39" spans="1:8" ht="15.75">
      <c r="A39" s="106"/>
      <c r="B39" s="12" t="s">
        <v>21</v>
      </c>
      <c r="D39" s="256" t="s">
        <v>125</v>
      </c>
      <c r="E39" s="257"/>
      <c r="F39" s="74"/>
      <c r="G39" s="104" t="s">
        <v>386</v>
      </c>
      <c r="H39" s="99"/>
    </row>
    <row r="40" spans="4:8" ht="15.75">
      <c r="D40" s="256" t="s">
        <v>61</v>
      </c>
      <c r="E40" s="257"/>
      <c r="F40" s="5">
        <f>(F35*0+F36*'emissziós faktorok'!B14+F37*'emissziós faktorok'!B17+F38*G38)</f>
        <v>0</v>
      </c>
      <c r="G40" s="104" t="s">
        <v>386</v>
      </c>
      <c r="H40" s="99"/>
    </row>
    <row r="41" spans="4:8" ht="12.75">
      <c r="D41" s="131"/>
      <c r="E41" s="132"/>
      <c r="F41" s="104"/>
      <c r="G41" s="104"/>
      <c r="H41" s="99"/>
    </row>
    <row r="42" spans="4:8" ht="12.75">
      <c r="D42" s="256" t="s">
        <v>126</v>
      </c>
      <c r="E42" s="257"/>
      <c r="F42" s="75">
        <v>0.9</v>
      </c>
      <c r="G42" s="98"/>
      <c r="H42" s="99"/>
    </row>
    <row r="43" spans="4:8" ht="12.75">
      <c r="D43" s="256" t="s">
        <v>60</v>
      </c>
      <c r="E43" s="257"/>
      <c r="F43" s="75">
        <v>0.1</v>
      </c>
      <c r="G43" s="98"/>
      <c r="H43" s="99"/>
    </row>
    <row r="44" spans="4:8" ht="15" customHeight="1">
      <c r="D44" s="256" t="s">
        <v>131</v>
      </c>
      <c r="E44" s="257"/>
      <c r="F44" s="75">
        <v>1</v>
      </c>
      <c r="G44" s="98"/>
      <c r="H44" s="99"/>
    </row>
    <row r="45" spans="4:8" ht="15" customHeight="1">
      <c r="D45" s="263" t="s">
        <v>58</v>
      </c>
      <c r="E45" s="264"/>
      <c r="F45" s="22">
        <f>F40*(1/F42)*(1+F43/1)*F44</f>
        <v>0</v>
      </c>
      <c r="G45" s="129" t="s">
        <v>386</v>
      </c>
      <c r="H45" s="101"/>
    </row>
    <row r="46" ht="12.75">
      <c r="H46" s="98"/>
    </row>
    <row r="49" spans="1:12" s="10" customFormat="1" ht="29.25" customHeight="1" thickBot="1">
      <c r="A49" s="265" t="s">
        <v>181</v>
      </c>
      <c r="B49" s="265"/>
      <c r="C49" s="265"/>
      <c r="E49" s="61" t="s">
        <v>14</v>
      </c>
      <c r="F49" s="61" t="s">
        <v>15</v>
      </c>
      <c r="G49" s="61"/>
      <c r="H49" s="61"/>
      <c r="I49" s="61"/>
      <c r="L49" s="61" t="s">
        <v>35</v>
      </c>
    </row>
    <row r="50" spans="1:13" s="10" customFormat="1" ht="12.75" customHeight="1" thickBot="1">
      <c r="A50" s="265"/>
      <c r="B50" s="265"/>
      <c r="C50" s="265"/>
      <c r="D50" s="61" t="s">
        <v>71</v>
      </c>
      <c r="E50" s="71">
        <f>A64*'emissziós faktorok'!B14+A66*AVERAGE('emissziós faktorok'!B10:B11)</f>
        <v>0</v>
      </c>
      <c r="F50" s="64" t="e">
        <f>IF(C68&gt;0,C68*'emissziós faktorok'!B14,(A68*'emissziós faktorok'!B14))+IF(C70&gt;0,'1. ENERGIAFOGYASZTÁS'!C70*AVERAGE('emissziós faktorok'!B10:B11),(A70*AVERAGE('emissziós faktorok'!B10:B11)))</f>
        <v>#DIV/0!</v>
      </c>
      <c r="G50" s="61" t="s">
        <v>359</v>
      </c>
      <c r="H50" s="61"/>
      <c r="I50" s="61"/>
      <c r="L50" s="64" t="e">
        <f>SUM(E50:F50)</f>
        <v>#DIV/0!</v>
      </c>
      <c r="M50" s="61" t="s">
        <v>359</v>
      </c>
    </row>
    <row r="51" spans="1:2" ht="12.75">
      <c r="A51" s="24" t="s">
        <v>160</v>
      </c>
      <c r="B51" s="24"/>
    </row>
    <row r="52" spans="1:2" ht="12.75">
      <c r="A52" s="24" t="s">
        <v>161</v>
      </c>
      <c r="B52" s="24"/>
    </row>
    <row r="53" spans="1:3" ht="12.75">
      <c r="A53" s="118" t="s">
        <v>164</v>
      </c>
      <c r="C53" s="21"/>
    </row>
    <row r="54" spans="1:3" ht="15" customHeight="1">
      <c r="A54" s="116" t="s">
        <v>162</v>
      </c>
      <c r="B54" s="116" t="s">
        <v>163</v>
      </c>
      <c r="C54" s="21"/>
    </row>
    <row r="55" spans="1:256" ht="12.75">
      <c r="A55" s="24" t="s">
        <v>341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.75">
      <c r="A56" s="116" t="s">
        <v>342</v>
      </c>
      <c r="B56" s="116" t="s">
        <v>343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8" spans="1:9" ht="12.75">
      <c r="A58" s="4" t="s">
        <v>159</v>
      </c>
      <c r="E58" s="136" t="s">
        <v>183</v>
      </c>
      <c r="F58" s="124"/>
      <c r="G58" s="124"/>
      <c r="H58" s="124"/>
      <c r="I58" s="97"/>
    </row>
    <row r="59" spans="1:10" ht="12.75">
      <c r="A59" s="25"/>
      <c r="B59" s="4" t="s">
        <v>192</v>
      </c>
      <c r="E59" s="137" t="s">
        <v>167</v>
      </c>
      <c r="F59" s="138"/>
      <c r="G59" s="138" t="s">
        <v>166</v>
      </c>
      <c r="H59" s="138" t="s">
        <v>168</v>
      </c>
      <c r="I59" s="139" t="s">
        <v>169</v>
      </c>
      <c r="J59" s="133"/>
    </row>
    <row r="60" spans="1:11" ht="12.75">
      <c r="A60" s="4" t="s">
        <v>182</v>
      </c>
      <c r="E60" s="126" t="s">
        <v>193</v>
      </c>
      <c r="F60" s="98"/>
      <c r="G60" s="104" t="s">
        <v>170</v>
      </c>
      <c r="H60" s="134"/>
      <c r="I60" s="127" t="s">
        <v>165</v>
      </c>
      <c r="K60" s="4"/>
    </row>
    <row r="61" spans="1:11" ht="12.75">
      <c r="A61" s="25"/>
      <c r="B61" s="4" t="s">
        <v>192</v>
      </c>
      <c r="E61" s="126" t="s">
        <v>194</v>
      </c>
      <c r="F61" s="98"/>
      <c r="G61" s="104" t="s">
        <v>195</v>
      </c>
      <c r="H61" s="134"/>
      <c r="I61" s="127" t="s">
        <v>165</v>
      </c>
      <c r="K61" s="4"/>
    </row>
    <row r="62" spans="5:11" ht="12.75">
      <c r="E62" s="126" t="s">
        <v>174</v>
      </c>
      <c r="F62" s="98"/>
      <c r="G62" s="104" t="s">
        <v>171</v>
      </c>
      <c r="H62" s="134"/>
      <c r="I62" s="127" t="s">
        <v>165</v>
      </c>
      <c r="K62" s="4"/>
    </row>
    <row r="63" spans="1:11" ht="12.75">
      <c r="A63" s="4" t="s">
        <v>159</v>
      </c>
      <c r="E63" s="103"/>
      <c r="F63" s="104" t="s">
        <v>184</v>
      </c>
      <c r="G63" s="104" t="s">
        <v>186</v>
      </c>
      <c r="H63" s="134"/>
      <c r="I63" s="127" t="s">
        <v>165</v>
      </c>
      <c r="K63" s="4"/>
    </row>
    <row r="64" spans="1:11" ht="12.75">
      <c r="A64" s="54">
        <f>A59*A76</f>
        <v>0</v>
      </c>
      <c r="B64" s="4" t="s">
        <v>21</v>
      </c>
      <c r="E64" s="103"/>
      <c r="F64" s="104" t="s">
        <v>172</v>
      </c>
      <c r="G64" s="104" t="s">
        <v>176</v>
      </c>
      <c r="H64" s="134"/>
      <c r="I64" s="127" t="s">
        <v>165</v>
      </c>
      <c r="K64" s="4"/>
    </row>
    <row r="65" spans="1:11" ht="12.75">
      <c r="A65" s="4" t="s">
        <v>182</v>
      </c>
      <c r="E65" s="103"/>
      <c r="F65" s="104" t="s">
        <v>173</v>
      </c>
      <c r="G65" s="104" t="s">
        <v>177</v>
      </c>
      <c r="H65" s="134"/>
      <c r="I65" s="127" t="s">
        <v>165</v>
      </c>
      <c r="K65" s="4"/>
    </row>
    <row r="66" spans="1:11" ht="12.75">
      <c r="A66" s="54">
        <f>A61*A78</f>
        <v>0</v>
      </c>
      <c r="B66" s="4" t="s">
        <v>21</v>
      </c>
      <c r="E66" s="126" t="s">
        <v>175</v>
      </c>
      <c r="F66" s="98"/>
      <c r="G66" s="104" t="s">
        <v>178</v>
      </c>
      <c r="H66" s="134"/>
      <c r="I66" s="127" t="s">
        <v>165</v>
      </c>
      <c r="K66" s="4"/>
    </row>
    <row r="67" spans="1:9" ht="25.5" customHeight="1">
      <c r="A67" s="255" t="s">
        <v>249</v>
      </c>
      <c r="B67" s="255"/>
      <c r="C67" s="255"/>
      <c r="D67" s="255"/>
      <c r="E67" s="103"/>
      <c r="F67" s="104" t="s">
        <v>184</v>
      </c>
      <c r="G67" s="104" t="s">
        <v>187</v>
      </c>
      <c r="H67" s="134"/>
      <c r="I67" s="127" t="s">
        <v>165</v>
      </c>
    </row>
    <row r="68" spans="1:9" ht="12.75">
      <c r="A68" s="54" t="e">
        <f>H70*A76</f>
        <v>#DIV/0!</v>
      </c>
      <c r="B68" s="4" t="s">
        <v>21</v>
      </c>
      <c r="C68" s="25"/>
      <c r="D68" s="4" t="s">
        <v>21</v>
      </c>
      <c r="E68" s="103"/>
      <c r="F68" s="104" t="s">
        <v>172</v>
      </c>
      <c r="G68" s="104" t="s">
        <v>179</v>
      </c>
      <c r="H68" s="134"/>
      <c r="I68" s="127" t="s">
        <v>165</v>
      </c>
    </row>
    <row r="69" spans="1:9" ht="25.5" customHeight="1">
      <c r="A69" s="255" t="s">
        <v>250</v>
      </c>
      <c r="B69" s="255"/>
      <c r="C69" s="255"/>
      <c r="D69" s="255"/>
      <c r="E69" s="103"/>
      <c r="F69" s="104" t="s">
        <v>173</v>
      </c>
      <c r="G69" s="104" t="s">
        <v>180</v>
      </c>
      <c r="H69" s="134"/>
      <c r="I69" s="127" t="s">
        <v>165</v>
      </c>
    </row>
    <row r="70" spans="1:9" ht="12.75">
      <c r="A70" s="54" t="e">
        <f>H71*A78</f>
        <v>#DIV/0!</v>
      </c>
      <c r="B70" s="4" t="s">
        <v>21</v>
      </c>
      <c r="C70" s="25"/>
      <c r="D70" s="4" t="s">
        <v>21</v>
      </c>
      <c r="E70" s="126" t="s">
        <v>196</v>
      </c>
      <c r="F70" s="98"/>
      <c r="G70" s="98"/>
      <c r="H70" s="70" t="e">
        <f>((H62+(H64/2)+(H65/2)+H66+(H68/2)+(H69/2))*A72)*H61/H60</f>
        <v>#DIV/0!</v>
      </c>
      <c r="I70" s="127" t="s">
        <v>192</v>
      </c>
    </row>
    <row r="71" spans="1:9" ht="12.75">
      <c r="A71" s="4" t="s">
        <v>185</v>
      </c>
      <c r="E71" s="128" t="s">
        <v>197</v>
      </c>
      <c r="F71" s="100"/>
      <c r="G71" s="100"/>
      <c r="H71" s="70" t="e">
        <f>((H63+(H65/2)+H67+(H69/2))*A74)*H61/H60</f>
        <v>#DIV/0!</v>
      </c>
      <c r="I71" s="130" t="s">
        <v>192</v>
      </c>
    </row>
    <row r="72" spans="1:2" ht="12.75">
      <c r="A72" s="135">
        <v>5.56</v>
      </c>
      <c r="B72" s="4" t="s">
        <v>192</v>
      </c>
    </row>
    <row r="73" spans="1:6" ht="12.75">
      <c r="A73" s="4" t="s">
        <v>188</v>
      </c>
      <c r="F73" s="4"/>
    </row>
    <row r="74" spans="1:6" ht="12.75">
      <c r="A74" s="121">
        <v>3.194</v>
      </c>
      <c r="B74" s="4" t="s">
        <v>192</v>
      </c>
      <c r="F74" s="4"/>
    </row>
    <row r="75" ht="12.75">
      <c r="A75" s="4" t="s">
        <v>189</v>
      </c>
    </row>
    <row r="76" spans="1:2" ht="15" customHeight="1">
      <c r="A76" s="121">
        <v>5.5556</v>
      </c>
      <c r="B76" s="4" t="s">
        <v>190</v>
      </c>
    </row>
    <row r="77" ht="15" customHeight="1">
      <c r="A77" s="4" t="s">
        <v>191</v>
      </c>
    </row>
    <row r="78" spans="1:2" ht="12.75">
      <c r="A78" s="121">
        <v>5.4</v>
      </c>
      <c r="B78" s="4" t="s">
        <v>190</v>
      </c>
    </row>
  </sheetData>
  <sheetProtection password="FA7E" sheet="1" formatColumns="0" formatRows="0"/>
  <protectedRanges>
    <protectedRange sqref="A10:H10 A17 A21:I21 K20 A31 A33 A35 A37 A39 F35:F39 F42:F44 A53 A56 A59 A61 C68 C70 A72 A74 A76 A78 H60:H69" name="Tartom?ny1"/>
  </protectedRanges>
  <mergeCells count="18">
    <mergeCell ref="A8:A9"/>
    <mergeCell ref="B9:H9"/>
    <mergeCell ref="D30:E31"/>
    <mergeCell ref="D42:E42"/>
    <mergeCell ref="D35:E35"/>
    <mergeCell ref="D36:E36"/>
    <mergeCell ref="D37:E37"/>
    <mergeCell ref="D38:E38"/>
    <mergeCell ref="D39:E39"/>
    <mergeCell ref="A67:D67"/>
    <mergeCell ref="A69:D69"/>
    <mergeCell ref="D40:E40"/>
    <mergeCell ref="A19:A20"/>
    <mergeCell ref="B19:I19"/>
    <mergeCell ref="D43:E43"/>
    <mergeCell ref="D44:E44"/>
    <mergeCell ref="D45:E45"/>
    <mergeCell ref="A49:C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R5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421875" style="0" customWidth="1"/>
    <col min="2" max="2" width="17.140625" style="0" customWidth="1"/>
    <col min="3" max="3" width="13.00390625" style="0" customWidth="1"/>
    <col min="4" max="4" width="11.00390625" style="0" customWidth="1"/>
    <col min="5" max="5" width="5.8515625" style="0" bestFit="1" customWidth="1"/>
    <col min="6" max="6" width="5.421875" style="0" customWidth="1"/>
    <col min="7" max="7" width="8.28125" style="0" customWidth="1"/>
    <col min="8" max="8" width="11.140625" style="0" customWidth="1"/>
    <col min="9" max="9" width="7.00390625" style="0" bestFit="1" customWidth="1"/>
    <col min="10" max="10" width="5.57421875" style="0" customWidth="1"/>
    <col min="11" max="11" width="13.28125" style="0" customWidth="1"/>
    <col min="12" max="12" width="10.8515625" style="0" customWidth="1"/>
    <col min="13" max="13" width="7.00390625" style="0" bestFit="1" customWidth="1"/>
    <col min="14" max="14" width="5.28125" style="0" customWidth="1"/>
    <col min="15" max="15" width="11.140625" style="0" customWidth="1"/>
    <col min="16" max="16" width="7.00390625" style="0" bestFit="1" customWidth="1"/>
  </cols>
  <sheetData>
    <row r="1" spans="1:18" s="10" customFormat="1" ht="28.5" customHeight="1" thickBot="1">
      <c r="A1" s="61" t="s">
        <v>251</v>
      </c>
      <c r="B1" s="61"/>
      <c r="C1" s="61"/>
      <c r="G1" s="62"/>
      <c r="H1" s="62"/>
      <c r="I1" s="63"/>
      <c r="K1" s="275" t="s">
        <v>73</v>
      </c>
      <c r="L1" s="66"/>
      <c r="M1" s="66"/>
      <c r="O1" s="61" t="s">
        <v>109</v>
      </c>
      <c r="Q1" s="94"/>
      <c r="R1" s="61"/>
    </row>
    <row r="2" spans="3:17" s="203" customFormat="1" ht="15" thickBot="1">
      <c r="C2" s="204" t="s">
        <v>71</v>
      </c>
      <c r="D2" s="64">
        <f>D11+D35</f>
        <v>0</v>
      </c>
      <c r="E2" s="204" t="s">
        <v>359</v>
      </c>
      <c r="G2" s="205" t="s">
        <v>72</v>
      </c>
      <c r="H2" s="65">
        <f>H35+H11</f>
        <v>0</v>
      </c>
      <c r="I2" s="205" t="s">
        <v>387</v>
      </c>
      <c r="K2" s="275"/>
      <c r="L2" s="67">
        <f>L35+L11</f>
        <v>0</v>
      </c>
      <c r="M2" s="206" t="s">
        <v>387</v>
      </c>
      <c r="O2" s="64">
        <f>O11+O35</f>
        <v>0</v>
      </c>
      <c r="P2" s="204" t="s">
        <v>387</v>
      </c>
      <c r="Q2" s="204"/>
    </row>
    <row r="3" spans="7:16" s="57" customFormat="1" ht="12.75">
      <c r="G3" s="58"/>
      <c r="H3" s="59"/>
      <c r="I3" s="58"/>
      <c r="O3" s="59"/>
      <c r="P3" s="58"/>
    </row>
    <row r="4" spans="1:2" ht="12.75">
      <c r="A4" s="24" t="s">
        <v>252</v>
      </c>
      <c r="B4" s="24"/>
    </row>
    <row r="5" spans="1:2" ht="12.75">
      <c r="A5" s="24" t="s">
        <v>253</v>
      </c>
      <c r="B5" s="24"/>
    </row>
    <row r="6" spans="1:2" ht="12.75">
      <c r="A6" s="118" t="s">
        <v>254</v>
      </c>
      <c r="B6" s="24"/>
    </row>
    <row r="7" spans="1:2" ht="12.75">
      <c r="A7" s="24" t="s">
        <v>255</v>
      </c>
      <c r="B7" s="24"/>
    </row>
    <row r="8" spans="1:2" ht="12.75">
      <c r="A8" s="118" t="s">
        <v>256</v>
      </c>
      <c r="B8" s="24"/>
    </row>
    <row r="9" ht="12" customHeight="1"/>
    <row r="10" spans="1:15" s="10" customFormat="1" ht="27" customHeight="1" thickBot="1">
      <c r="A10" s="274" t="s">
        <v>257</v>
      </c>
      <c r="B10" s="102"/>
      <c r="C10" s="61"/>
      <c r="G10" s="62"/>
      <c r="H10" s="62"/>
      <c r="I10" s="63"/>
      <c r="K10" s="275" t="s">
        <v>73</v>
      </c>
      <c r="L10" s="66"/>
      <c r="M10" s="66"/>
      <c r="O10" s="61" t="s">
        <v>35</v>
      </c>
    </row>
    <row r="11" spans="1:16" s="10" customFormat="1" ht="13.5" customHeight="1" thickBot="1">
      <c r="A11" s="274"/>
      <c r="B11" s="102"/>
      <c r="C11" s="61" t="s">
        <v>71</v>
      </c>
      <c r="D11" s="64">
        <f>SUM(D17:D31)</f>
        <v>0</v>
      </c>
      <c r="E11" s="61" t="s">
        <v>359</v>
      </c>
      <c r="G11" s="63" t="s">
        <v>72</v>
      </c>
      <c r="H11" s="65">
        <f>SUM(H17:H31)*'emissziós faktorok'!E3</f>
        <v>0</v>
      </c>
      <c r="I11" s="63" t="s">
        <v>387</v>
      </c>
      <c r="K11" s="275"/>
      <c r="L11" s="67">
        <f>SUM(L17:L31)*'emissziós faktorok'!G3</f>
        <v>0</v>
      </c>
      <c r="M11" s="66" t="s">
        <v>387</v>
      </c>
      <c r="O11" s="64">
        <f>D11+H11+L11</f>
        <v>0</v>
      </c>
      <c r="P11" s="61" t="s">
        <v>387</v>
      </c>
    </row>
    <row r="12" spans="1:2" ht="12.75">
      <c r="A12" s="24" t="s">
        <v>258</v>
      </c>
      <c r="B12" s="96"/>
    </row>
    <row r="13" spans="1:2" ht="12.75">
      <c r="A13" s="24" t="s">
        <v>259</v>
      </c>
      <c r="B13" s="96"/>
    </row>
    <row r="15" spans="1:5" ht="12.75">
      <c r="A15" s="4" t="s">
        <v>26</v>
      </c>
      <c r="B15" s="25"/>
      <c r="E15" s="95"/>
    </row>
    <row r="16" spans="1:5" ht="12.75">
      <c r="A16" s="4" t="s">
        <v>260</v>
      </c>
      <c r="B16" s="4" t="s">
        <v>261</v>
      </c>
      <c r="C16" s="4"/>
      <c r="D16" s="4" t="s">
        <v>262</v>
      </c>
      <c r="E16" s="4"/>
    </row>
    <row r="17" spans="1:13" ht="15.75">
      <c r="A17" s="25"/>
      <c r="B17" s="25"/>
      <c r="C17" s="4"/>
      <c r="D17" s="25"/>
      <c r="E17" s="105" t="s">
        <v>360</v>
      </c>
      <c r="H17" s="25"/>
      <c r="I17" s="4" t="s">
        <v>388</v>
      </c>
      <c r="L17" s="25"/>
      <c r="M17" s="4" t="s">
        <v>389</v>
      </c>
    </row>
    <row r="18" spans="1:13" ht="15.75">
      <c r="A18" s="25"/>
      <c r="B18" s="25"/>
      <c r="C18" s="4"/>
      <c r="D18" s="25"/>
      <c r="E18" s="105" t="s">
        <v>360</v>
      </c>
      <c r="H18" s="25"/>
      <c r="I18" s="4" t="s">
        <v>388</v>
      </c>
      <c r="L18" s="25"/>
      <c r="M18" s="4" t="s">
        <v>389</v>
      </c>
    </row>
    <row r="19" spans="1:13" ht="15.75">
      <c r="A19" s="25"/>
      <c r="B19" s="25"/>
      <c r="C19" s="4"/>
      <c r="D19" s="25"/>
      <c r="E19" s="105" t="s">
        <v>360</v>
      </c>
      <c r="H19" s="25"/>
      <c r="I19" s="4" t="s">
        <v>388</v>
      </c>
      <c r="L19" s="25"/>
      <c r="M19" s="4" t="s">
        <v>389</v>
      </c>
    </row>
    <row r="20" spans="1:13" ht="15.75">
      <c r="A20" s="25"/>
      <c r="B20" s="25"/>
      <c r="C20" s="4"/>
      <c r="D20" s="25"/>
      <c r="E20" s="105" t="s">
        <v>360</v>
      </c>
      <c r="H20" s="25"/>
      <c r="I20" s="4" t="s">
        <v>388</v>
      </c>
      <c r="L20" s="25"/>
      <c r="M20" s="4" t="s">
        <v>389</v>
      </c>
    </row>
    <row r="21" spans="1:13" ht="15.75">
      <c r="A21" s="25"/>
      <c r="B21" s="25"/>
      <c r="C21" s="4"/>
      <c r="D21" s="25"/>
      <c r="E21" s="105" t="s">
        <v>360</v>
      </c>
      <c r="H21" s="25"/>
      <c r="I21" s="4" t="s">
        <v>388</v>
      </c>
      <c r="L21" s="25"/>
      <c r="M21" s="4" t="s">
        <v>389</v>
      </c>
    </row>
    <row r="22" spans="1:13" ht="15.75">
      <c r="A22" s="25"/>
      <c r="B22" s="25"/>
      <c r="C22" s="4"/>
      <c r="D22" s="25"/>
      <c r="E22" s="105" t="s">
        <v>360</v>
      </c>
      <c r="H22" s="25"/>
      <c r="I22" s="4" t="s">
        <v>388</v>
      </c>
      <c r="L22" s="25"/>
      <c r="M22" s="4" t="s">
        <v>389</v>
      </c>
    </row>
    <row r="23" spans="1:13" ht="15.75">
      <c r="A23" s="25"/>
      <c r="B23" s="25"/>
      <c r="C23" s="4"/>
      <c r="D23" s="25"/>
      <c r="E23" s="105" t="s">
        <v>360</v>
      </c>
      <c r="H23" s="25"/>
      <c r="I23" s="4" t="s">
        <v>388</v>
      </c>
      <c r="L23" s="25"/>
      <c r="M23" s="4" t="s">
        <v>389</v>
      </c>
    </row>
    <row r="24" spans="1:13" ht="15.75">
      <c r="A24" s="25"/>
      <c r="B24" s="25"/>
      <c r="C24" s="4"/>
      <c r="D24" s="25"/>
      <c r="E24" s="105" t="s">
        <v>360</v>
      </c>
      <c r="H24" s="25"/>
      <c r="I24" s="4" t="s">
        <v>388</v>
      </c>
      <c r="L24" s="25"/>
      <c r="M24" s="4" t="s">
        <v>389</v>
      </c>
    </row>
    <row r="25" spans="1:13" ht="15.75">
      <c r="A25" s="25"/>
      <c r="B25" s="25"/>
      <c r="C25" s="4"/>
      <c r="D25" s="25"/>
      <c r="E25" s="105" t="s">
        <v>360</v>
      </c>
      <c r="H25" s="25"/>
      <c r="I25" s="4" t="s">
        <v>388</v>
      </c>
      <c r="L25" s="25"/>
      <c r="M25" s="4" t="s">
        <v>389</v>
      </c>
    </row>
    <row r="26" spans="1:13" ht="15.75">
      <c r="A26" s="25"/>
      <c r="B26" s="25"/>
      <c r="C26" s="4"/>
      <c r="D26" s="25"/>
      <c r="E26" s="105" t="s">
        <v>360</v>
      </c>
      <c r="H26" s="25"/>
      <c r="I26" s="4" t="s">
        <v>388</v>
      </c>
      <c r="L26" s="25"/>
      <c r="M26" s="4" t="s">
        <v>389</v>
      </c>
    </row>
    <row r="27" spans="1:13" ht="15.75">
      <c r="A27" s="25"/>
      <c r="B27" s="25"/>
      <c r="C27" s="4"/>
      <c r="D27" s="25"/>
      <c r="E27" s="105" t="s">
        <v>360</v>
      </c>
      <c r="H27" s="25"/>
      <c r="I27" s="4" t="s">
        <v>388</v>
      </c>
      <c r="L27" s="25"/>
      <c r="M27" s="4" t="s">
        <v>389</v>
      </c>
    </row>
    <row r="28" spans="1:13" ht="15.75">
      <c r="A28" s="25"/>
      <c r="B28" s="25"/>
      <c r="C28" s="4"/>
      <c r="D28" s="25"/>
      <c r="E28" s="105" t="s">
        <v>360</v>
      </c>
      <c r="H28" s="25"/>
      <c r="I28" s="4" t="s">
        <v>388</v>
      </c>
      <c r="L28" s="25"/>
      <c r="M28" s="4" t="s">
        <v>389</v>
      </c>
    </row>
    <row r="29" spans="1:13" ht="15.75">
      <c r="A29" s="25"/>
      <c r="B29" s="25"/>
      <c r="C29" s="4"/>
      <c r="D29" s="25"/>
      <c r="E29" s="105" t="s">
        <v>360</v>
      </c>
      <c r="H29" s="25"/>
      <c r="I29" s="4" t="s">
        <v>388</v>
      </c>
      <c r="L29" s="25"/>
      <c r="M29" s="4" t="s">
        <v>389</v>
      </c>
    </row>
    <row r="30" spans="1:13" ht="15.75">
      <c r="A30" s="25"/>
      <c r="B30" s="25"/>
      <c r="C30" s="4"/>
      <c r="D30" s="25"/>
      <c r="E30" s="105" t="s">
        <v>360</v>
      </c>
      <c r="H30" s="25"/>
      <c r="I30" s="4" t="s">
        <v>388</v>
      </c>
      <c r="L30" s="25"/>
      <c r="M30" s="4" t="s">
        <v>389</v>
      </c>
    </row>
    <row r="31" spans="1:13" ht="15.75">
      <c r="A31" s="25"/>
      <c r="B31" s="25"/>
      <c r="C31" s="4"/>
      <c r="D31" s="25"/>
      <c r="E31" s="105" t="s">
        <v>360</v>
      </c>
      <c r="H31" s="25"/>
      <c r="I31" s="4" t="s">
        <v>388</v>
      </c>
      <c r="L31" s="25"/>
      <c r="M31" s="4" t="s">
        <v>389</v>
      </c>
    </row>
    <row r="34" spans="1:15" s="10" customFormat="1" ht="29.25" customHeight="1" thickBot="1">
      <c r="A34" s="274" t="s">
        <v>127</v>
      </c>
      <c r="B34" s="102"/>
      <c r="C34" s="61"/>
      <c r="G34" s="62"/>
      <c r="H34" s="62"/>
      <c r="I34" s="63"/>
      <c r="K34" s="275" t="s">
        <v>73</v>
      </c>
      <c r="L34" s="66"/>
      <c r="M34" s="66"/>
      <c r="O34" s="61" t="s">
        <v>35</v>
      </c>
    </row>
    <row r="35" spans="1:16" s="10" customFormat="1" ht="12.75" customHeight="1" thickBot="1">
      <c r="A35" s="274"/>
      <c r="B35" s="102"/>
      <c r="C35" s="61" t="s">
        <v>71</v>
      </c>
      <c r="D35" s="64">
        <f>SUM(D41:D55)</f>
        <v>0</v>
      </c>
      <c r="E35" s="61" t="s">
        <v>359</v>
      </c>
      <c r="G35" s="63" t="s">
        <v>72</v>
      </c>
      <c r="H35" s="65">
        <f>SUM(H41:H55)*'emissziós faktorok'!E3</f>
        <v>0</v>
      </c>
      <c r="I35" s="63" t="s">
        <v>387</v>
      </c>
      <c r="K35" s="275"/>
      <c r="L35" s="67">
        <f>SUM(L41:L55)*'emissziós faktorok'!G3</f>
        <v>0</v>
      </c>
      <c r="M35" s="66" t="s">
        <v>387</v>
      </c>
      <c r="O35" s="64">
        <f>D35+H35+L35</f>
        <v>0</v>
      </c>
      <c r="P35" s="61" t="s">
        <v>387</v>
      </c>
    </row>
    <row r="36" ht="12.75">
      <c r="A36" s="24" t="s">
        <v>263</v>
      </c>
    </row>
    <row r="37" ht="12.75">
      <c r="A37" s="24" t="s">
        <v>264</v>
      </c>
    </row>
    <row r="39" spans="1:2" ht="12.75">
      <c r="A39" s="4" t="s">
        <v>26</v>
      </c>
      <c r="B39" s="25"/>
    </row>
    <row r="40" spans="1:2" ht="12.75">
      <c r="A40" s="4" t="s">
        <v>260</v>
      </c>
      <c r="B40" s="4" t="s">
        <v>261</v>
      </c>
    </row>
    <row r="41" spans="1:13" ht="15.75">
      <c r="A41" s="25"/>
      <c r="B41" s="25"/>
      <c r="D41" s="25"/>
      <c r="E41" s="105" t="s">
        <v>360</v>
      </c>
      <c r="H41" s="25"/>
      <c r="I41" s="4" t="s">
        <v>388</v>
      </c>
      <c r="L41" s="25"/>
      <c r="M41" s="4" t="s">
        <v>389</v>
      </c>
    </row>
    <row r="42" spans="1:13" ht="15.75">
      <c r="A42" s="25"/>
      <c r="B42" s="25"/>
      <c r="D42" s="25"/>
      <c r="E42" s="105" t="s">
        <v>360</v>
      </c>
      <c r="H42" s="25"/>
      <c r="I42" s="4" t="s">
        <v>388</v>
      </c>
      <c r="L42" s="25"/>
      <c r="M42" s="4" t="s">
        <v>389</v>
      </c>
    </row>
    <row r="43" spans="1:13" ht="15.75">
      <c r="A43" s="25"/>
      <c r="B43" s="25"/>
      <c r="D43" s="25"/>
      <c r="E43" s="105" t="s">
        <v>360</v>
      </c>
      <c r="H43" s="25"/>
      <c r="I43" s="4" t="s">
        <v>388</v>
      </c>
      <c r="L43" s="25"/>
      <c r="M43" s="4" t="s">
        <v>389</v>
      </c>
    </row>
    <row r="44" spans="1:13" ht="15.75">
      <c r="A44" s="25"/>
      <c r="B44" s="25"/>
      <c r="D44" s="25"/>
      <c r="E44" s="105" t="s">
        <v>360</v>
      </c>
      <c r="H44" s="25"/>
      <c r="I44" s="4" t="s">
        <v>388</v>
      </c>
      <c r="L44" s="25"/>
      <c r="M44" s="4" t="s">
        <v>389</v>
      </c>
    </row>
    <row r="45" spans="1:13" ht="15.75">
      <c r="A45" s="25"/>
      <c r="B45" s="25"/>
      <c r="D45" s="25"/>
      <c r="E45" s="105" t="s">
        <v>360</v>
      </c>
      <c r="H45" s="25"/>
      <c r="I45" s="4" t="s">
        <v>388</v>
      </c>
      <c r="L45" s="25"/>
      <c r="M45" s="4" t="s">
        <v>389</v>
      </c>
    </row>
    <row r="46" spans="1:13" ht="15.75">
      <c r="A46" s="25"/>
      <c r="B46" s="25"/>
      <c r="D46" s="25"/>
      <c r="E46" s="105" t="s">
        <v>360</v>
      </c>
      <c r="H46" s="25"/>
      <c r="I46" s="4" t="s">
        <v>388</v>
      </c>
      <c r="L46" s="25"/>
      <c r="M46" s="4" t="s">
        <v>389</v>
      </c>
    </row>
    <row r="47" spans="1:13" ht="15.75">
      <c r="A47" s="25"/>
      <c r="B47" s="25"/>
      <c r="D47" s="25"/>
      <c r="E47" s="105" t="s">
        <v>360</v>
      </c>
      <c r="H47" s="25"/>
      <c r="I47" s="4" t="s">
        <v>388</v>
      </c>
      <c r="L47" s="25"/>
      <c r="M47" s="4" t="s">
        <v>389</v>
      </c>
    </row>
    <row r="48" spans="1:13" ht="15.75">
      <c r="A48" s="25"/>
      <c r="B48" s="25"/>
      <c r="D48" s="25"/>
      <c r="E48" s="105" t="s">
        <v>360</v>
      </c>
      <c r="H48" s="25"/>
      <c r="I48" s="4" t="s">
        <v>388</v>
      </c>
      <c r="L48" s="25"/>
      <c r="M48" s="4" t="s">
        <v>389</v>
      </c>
    </row>
    <row r="49" spans="1:13" ht="15.75">
      <c r="A49" s="25"/>
      <c r="B49" s="25"/>
      <c r="D49" s="25"/>
      <c r="E49" s="105" t="s">
        <v>360</v>
      </c>
      <c r="H49" s="25"/>
      <c r="I49" s="4" t="s">
        <v>388</v>
      </c>
      <c r="L49" s="25"/>
      <c r="M49" s="4" t="s">
        <v>389</v>
      </c>
    </row>
    <row r="50" spans="1:13" ht="15.75">
      <c r="A50" s="25"/>
      <c r="B50" s="25"/>
      <c r="D50" s="25"/>
      <c r="E50" s="105" t="s">
        <v>360</v>
      </c>
      <c r="H50" s="25"/>
      <c r="I50" s="4" t="s">
        <v>388</v>
      </c>
      <c r="L50" s="25"/>
      <c r="M50" s="4" t="s">
        <v>389</v>
      </c>
    </row>
    <row r="51" spans="1:13" ht="15.75">
      <c r="A51" s="25"/>
      <c r="B51" s="25"/>
      <c r="D51" s="25"/>
      <c r="E51" s="105" t="s">
        <v>360</v>
      </c>
      <c r="H51" s="25"/>
      <c r="I51" s="4" t="s">
        <v>388</v>
      </c>
      <c r="L51" s="25"/>
      <c r="M51" s="4" t="s">
        <v>389</v>
      </c>
    </row>
    <row r="52" spans="1:13" ht="15.75">
      <c r="A52" s="25"/>
      <c r="B52" s="25"/>
      <c r="D52" s="25"/>
      <c r="E52" s="105" t="s">
        <v>360</v>
      </c>
      <c r="H52" s="25"/>
      <c r="I52" s="4" t="s">
        <v>388</v>
      </c>
      <c r="L52" s="25"/>
      <c r="M52" s="4" t="s">
        <v>389</v>
      </c>
    </row>
    <row r="53" spans="1:13" ht="15.75">
      <c r="A53" s="25"/>
      <c r="B53" s="25"/>
      <c r="D53" s="25"/>
      <c r="E53" s="105" t="s">
        <v>360</v>
      </c>
      <c r="H53" s="25"/>
      <c r="I53" s="4" t="s">
        <v>388</v>
      </c>
      <c r="L53" s="25"/>
      <c r="M53" s="4" t="s">
        <v>389</v>
      </c>
    </row>
    <row r="54" spans="1:13" ht="15.75">
      <c r="A54" s="25"/>
      <c r="B54" s="25"/>
      <c r="D54" s="25"/>
      <c r="E54" s="105" t="s">
        <v>360</v>
      </c>
      <c r="H54" s="25"/>
      <c r="I54" s="4" t="s">
        <v>388</v>
      </c>
      <c r="L54" s="25"/>
      <c r="M54" s="4" t="s">
        <v>389</v>
      </c>
    </row>
    <row r="55" spans="1:13" ht="15.75">
      <c r="A55" s="25"/>
      <c r="B55" s="25"/>
      <c r="D55" s="25"/>
      <c r="E55" s="105" t="s">
        <v>360</v>
      </c>
      <c r="H55" s="25"/>
      <c r="I55" s="4" t="s">
        <v>388</v>
      </c>
      <c r="L55" s="25"/>
      <c r="M55" s="4" t="s">
        <v>389</v>
      </c>
    </row>
  </sheetData>
  <sheetProtection password="FA7E" sheet="1" formatColumns="0" formatRows="0"/>
  <protectedRanges>
    <protectedRange sqref="A6 A8 B15 A17:B31 D17:D31 H17:H31 L17:L31 B39 A41:B55 D41:D55 H41:H55 L41:L55" name="Tartom?ny1"/>
  </protectedRanges>
  <mergeCells count="5">
    <mergeCell ref="A34:A35"/>
    <mergeCell ref="K34:K35"/>
    <mergeCell ref="K1:K2"/>
    <mergeCell ref="A10:A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BA171"/>
  <sheetViews>
    <sheetView zoomScale="96" zoomScaleNormal="96" zoomScalePageLayoutView="0" workbookViewId="0" topLeftCell="A1">
      <selection activeCell="B10" sqref="B10"/>
    </sheetView>
  </sheetViews>
  <sheetFormatPr defaultColWidth="9.140625" defaultRowHeight="12.75"/>
  <cols>
    <col min="1" max="1" width="63.7109375" style="0" customWidth="1"/>
    <col min="2" max="2" width="17.7109375" style="0" customWidth="1"/>
    <col min="3" max="3" width="18.00390625" style="0" bestFit="1" customWidth="1"/>
    <col min="4" max="4" width="21.8515625" style="0" customWidth="1"/>
    <col min="5" max="5" width="21.7109375" style="0" customWidth="1"/>
    <col min="6" max="6" width="17.57421875" style="0" customWidth="1"/>
    <col min="7" max="7" width="17.421875" style="0" customWidth="1"/>
    <col min="8" max="8" width="17.57421875" style="0" bestFit="1" customWidth="1"/>
    <col min="9" max="9" width="17.28125" style="0" bestFit="1" customWidth="1"/>
    <col min="10" max="10" width="13.7109375" style="0" customWidth="1"/>
    <col min="11" max="11" width="15.140625" style="0" customWidth="1"/>
    <col min="12" max="12" width="18.421875" style="0" customWidth="1"/>
    <col min="13" max="13" width="19.7109375" style="0" bestFit="1" customWidth="1"/>
    <col min="14" max="14" width="13.28125" style="0" customWidth="1"/>
    <col min="15" max="15" width="11.28125" style="0" customWidth="1"/>
    <col min="16" max="16" width="13.421875" style="0" bestFit="1" customWidth="1"/>
    <col min="17" max="42" width="11.7109375" style="0" bestFit="1" customWidth="1"/>
  </cols>
  <sheetData>
    <row r="1" spans="1:7" s="10" customFormat="1" ht="28.5" customHeight="1" thickBot="1">
      <c r="A1" s="61" t="s">
        <v>80</v>
      </c>
      <c r="C1" s="61" t="s">
        <v>291</v>
      </c>
      <c r="D1" s="61" t="s">
        <v>0</v>
      </c>
      <c r="E1" s="61" t="s">
        <v>89</v>
      </c>
      <c r="G1" s="61" t="s">
        <v>109</v>
      </c>
    </row>
    <row r="2" spans="2:8" s="203" customFormat="1" ht="15" thickBot="1">
      <c r="B2" s="204" t="s">
        <v>71</v>
      </c>
      <c r="C2" s="64" t="e">
        <f>+C6+C17+C23</f>
        <v>#DIV/0!</v>
      </c>
      <c r="D2" s="146">
        <f>+D23+D6</f>
        <v>0</v>
      </c>
      <c r="E2" s="146">
        <f>+E23</f>
        <v>0</v>
      </c>
      <c r="F2" s="204" t="s">
        <v>359</v>
      </c>
      <c r="G2" s="64" t="e">
        <f>C2+D2+E2</f>
        <v>#DIV/0!</v>
      </c>
      <c r="H2" s="204" t="s">
        <v>359</v>
      </c>
    </row>
    <row r="4" spans="1:4" s="10" customFormat="1" ht="29.25" customHeight="1" thickBot="1">
      <c r="A4" s="278" t="s">
        <v>350</v>
      </c>
      <c r="C4" s="61" t="s">
        <v>291</v>
      </c>
      <c r="D4" s="61" t="s">
        <v>0</v>
      </c>
    </row>
    <row r="5" spans="1:7" s="10" customFormat="1" ht="13.5" thickBot="1">
      <c r="A5" s="278"/>
      <c r="B5" s="61" t="s">
        <v>71</v>
      </c>
      <c r="C5" s="64" t="e">
        <f>+F128+F129</f>
        <v>#DIV/0!</v>
      </c>
      <c r="E5" s="61"/>
      <c r="G5" s="61" t="s">
        <v>35</v>
      </c>
    </row>
    <row r="6" spans="1:8" s="10" customFormat="1" ht="39.75" thickBot="1">
      <c r="A6" s="278"/>
      <c r="B6" s="185" t="s">
        <v>292</v>
      </c>
      <c r="C6" s="64" t="e">
        <f>+C5*B145</f>
        <v>#DIV/0!</v>
      </c>
      <c r="D6" s="146">
        <f>+F143</f>
        <v>0</v>
      </c>
      <c r="E6" s="61" t="s">
        <v>359</v>
      </c>
      <c r="G6" s="186" t="e">
        <f>+C6+D6</f>
        <v>#DIV/0!</v>
      </c>
      <c r="H6" s="61" t="s">
        <v>359</v>
      </c>
    </row>
    <row r="7" spans="1:8" s="57" customFormat="1" ht="12.75">
      <c r="A7" s="242" t="s">
        <v>373</v>
      </c>
      <c r="B7" s="233"/>
      <c r="C7" s="59"/>
      <c r="D7" s="232"/>
      <c r="E7" s="58"/>
      <c r="G7" s="234"/>
      <c r="H7" s="58"/>
    </row>
    <row r="8" s="57" customFormat="1" ht="12.75">
      <c r="A8" s="240" t="s">
        <v>352</v>
      </c>
    </row>
    <row r="9" s="57" customFormat="1" ht="12.75">
      <c r="A9" s="240"/>
    </row>
    <row r="10" spans="1:2" ht="12.75">
      <c r="A10" s="7" t="s">
        <v>221</v>
      </c>
      <c r="B10" s="113"/>
    </row>
    <row r="11" spans="1:3" ht="42.75" customHeight="1">
      <c r="A11" s="6" t="s">
        <v>371</v>
      </c>
      <c r="B11" s="113"/>
      <c r="C11" t="s">
        <v>222</v>
      </c>
    </row>
    <row r="12" spans="1:3" ht="12.75">
      <c r="A12" s="7" t="s">
        <v>223</v>
      </c>
      <c r="B12" s="113"/>
      <c r="C12" t="s">
        <v>91</v>
      </c>
    </row>
    <row r="13" spans="1:3" ht="33" customHeight="1">
      <c r="A13" s="7" t="s">
        <v>224</v>
      </c>
      <c r="B13" s="113"/>
      <c r="C13" t="s">
        <v>91</v>
      </c>
    </row>
    <row r="14" spans="1:3" ht="44.25" customHeight="1">
      <c r="A14" s="6" t="s">
        <v>383</v>
      </c>
      <c r="B14" s="113"/>
      <c r="C14" t="s">
        <v>293</v>
      </c>
    </row>
    <row r="15" ht="33" customHeight="1">
      <c r="A15" s="7"/>
    </row>
    <row r="16" spans="1:7" s="10" customFormat="1" ht="29.25" customHeight="1" thickBot="1">
      <c r="A16" s="274" t="s">
        <v>337</v>
      </c>
      <c r="C16" s="61" t="s">
        <v>291</v>
      </c>
      <c r="G16" s="61" t="s">
        <v>35</v>
      </c>
    </row>
    <row r="17" spans="1:8" s="10" customFormat="1" ht="15" thickBot="1">
      <c r="A17" s="274"/>
      <c r="B17" s="61" t="s">
        <v>71</v>
      </c>
      <c r="C17" s="64" t="e">
        <f>+F131+F132</f>
        <v>#DIV/0!</v>
      </c>
      <c r="D17" s="61" t="s">
        <v>359</v>
      </c>
      <c r="G17" s="64" t="e">
        <f>+C17</f>
        <v>#DIV/0!</v>
      </c>
      <c r="H17" s="61" t="s">
        <v>359</v>
      </c>
    </row>
    <row r="19" spans="1:2" ht="12.75">
      <c r="A19" s="6" t="s">
        <v>361</v>
      </c>
      <c r="B19" s="113"/>
    </row>
    <row r="20" spans="1:3" ht="25.5">
      <c r="A20" s="147" t="s">
        <v>372</v>
      </c>
      <c r="B20" s="113"/>
      <c r="C20" t="s">
        <v>151</v>
      </c>
    </row>
    <row r="21" ht="12.75">
      <c r="A21" s="147"/>
    </row>
    <row r="22" spans="1:7" s="10" customFormat="1" ht="29.25" customHeight="1" thickBot="1">
      <c r="A22" s="277" t="s">
        <v>294</v>
      </c>
      <c r="C22" s="61" t="s">
        <v>291</v>
      </c>
      <c r="D22" s="61" t="s">
        <v>0</v>
      </c>
      <c r="E22" s="61" t="s">
        <v>89</v>
      </c>
      <c r="G22" s="61" t="s">
        <v>35</v>
      </c>
    </row>
    <row r="23" spans="1:8" s="10" customFormat="1" ht="15" thickBot="1">
      <c r="A23" s="277"/>
      <c r="B23" s="61" t="s">
        <v>71</v>
      </c>
      <c r="C23" s="64" t="e">
        <f>+F135+F136</f>
        <v>#DIV/0!</v>
      </c>
      <c r="D23" s="146">
        <f>+F138</f>
        <v>0</v>
      </c>
      <c r="E23" s="146">
        <f>+F139</f>
        <v>0</v>
      </c>
      <c r="F23" s="61" t="s">
        <v>359</v>
      </c>
      <c r="G23" s="64" t="e">
        <f>C23+D23+E23</f>
        <v>#DIV/0!</v>
      </c>
      <c r="H23" s="61" t="s">
        <v>359</v>
      </c>
    </row>
    <row r="24" spans="1:8" s="236" customFormat="1" ht="12.75">
      <c r="A24" s="243" t="s">
        <v>374</v>
      </c>
      <c r="B24" s="239"/>
      <c r="C24" s="238"/>
      <c r="D24" s="244"/>
      <c r="E24" s="244"/>
      <c r="F24" s="239"/>
      <c r="G24" s="238"/>
      <c r="H24" s="239"/>
    </row>
    <row r="25" spans="1:8" s="236" customFormat="1" ht="12.75">
      <c r="A25" s="245" t="s">
        <v>375</v>
      </c>
      <c r="B25" s="239"/>
      <c r="C25" s="238"/>
      <c r="D25" s="244"/>
      <c r="E25" s="244"/>
      <c r="F25" s="239"/>
      <c r="G25" s="238"/>
      <c r="H25" s="239"/>
    </row>
    <row r="26" spans="1:8" s="236" customFormat="1" ht="17.25" customHeight="1">
      <c r="A26" s="279" t="s">
        <v>376</v>
      </c>
      <c r="B26" s="279"/>
      <c r="C26" s="279"/>
      <c r="D26" s="244"/>
      <c r="E26" s="244"/>
      <c r="F26" s="239"/>
      <c r="G26" s="238"/>
      <c r="H26" s="239"/>
    </row>
    <row r="27" spans="1:10" s="236" customFormat="1" ht="12.75">
      <c r="A27" s="240" t="s">
        <v>377</v>
      </c>
      <c r="D27" s="239"/>
      <c r="E27" s="238"/>
      <c r="F27" s="239"/>
      <c r="I27" s="246"/>
      <c r="J27" s="239"/>
    </row>
    <row r="28" spans="1:10" s="236" customFormat="1" ht="12.75">
      <c r="A28" s="240"/>
      <c r="D28" s="239"/>
      <c r="E28" s="238"/>
      <c r="F28" s="239"/>
      <c r="I28" s="246"/>
      <c r="J28" s="239"/>
    </row>
    <row r="29" ht="12.75">
      <c r="A29" s="21" t="s">
        <v>365</v>
      </c>
    </row>
    <row r="30" spans="1:14" ht="12.75">
      <c r="A30" s="142" t="s">
        <v>225</v>
      </c>
      <c r="B30" s="142" t="s">
        <v>226</v>
      </c>
      <c r="C30" s="142" t="s">
        <v>227</v>
      </c>
      <c r="D30" s="143" t="s">
        <v>218</v>
      </c>
      <c r="E30" s="5" t="s">
        <v>233</v>
      </c>
      <c r="F30" s="5" t="s">
        <v>240</v>
      </c>
      <c r="G30" s="5" t="s">
        <v>241</v>
      </c>
      <c r="H30" s="5" t="s">
        <v>234</v>
      </c>
      <c r="I30" s="5" t="s">
        <v>235</v>
      </c>
      <c r="J30" s="5" t="s">
        <v>236</v>
      </c>
      <c r="K30" s="5" t="s">
        <v>237</v>
      </c>
      <c r="L30" s="5" t="s">
        <v>238</v>
      </c>
      <c r="M30" s="5" t="s">
        <v>239</v>
      </c>
      <c r="N30" s="5" t="s">
        <v>295</v>
      </c>
    </row>
    <row r="31" spans="1:14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14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1:14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14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4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1:14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34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AE44" s="98"/>
      <c r="AF44" s="98"/>
      <c r="AG44" s="98"/>
      <c r="AH44" s="98"/>
    </row>
    <row r="45" spans="1:34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AE45" s="98"/>
      <c r="AF45" s="98"/>
      <c r="AG45" s="98"/>
      <c r="AH45" s="98"/>
    </row>
    <row r="46" spans="1:34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AE46" s="98"/>
      <c r="AF46" s="98"/>
      <c r="AG46" s="98"/>
      <c r="AH46" s="98"/>
    </row>
    <row r="47" spans="1:34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AE47" s="98"/>
      <c r="AF47" s="98"/>
      <c r="AG47" s="98"/>
      <c r="AH47" s="98"/>
    </row>
    <row r="48" spans="1:34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AE48" s="98"/>
      <c r="AF48" s="98"/>
      <c r="AG48" s="98"/>
      <c r="AH48" s="98"/>
    </row>
    <row r="49" spans="1:34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AE49" s="98"/>
      <c r="AF49" s="98"/>
      <c r="AG49" s="98"/>
      <c r="AH49" s="98"/>
    </row>
    <row r="50" spans="1:34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AE50" s="98"/>
      <c r="AF50" s="98"/>
      <c r="AG50" s="98"/>
      <c r="AH50" s="98"/>
    </row>
    <row r="51" spans="1:34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AE51" s="98"/>
      <c r="AF51" s="98"/>
      <c r="AG51" s="98"/>
      <c r="AH51" s="98"/>
    </row>
    <row r="52" spans="1:34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AE52" s="98"/>
      <c r="AF52" s="98"/>
      <c r="AG52" s="98"/>
      <c r="AH52" s="98"/>
    </row>
    <row r="53" spans="1:14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1:14" ht="12.75">
      <c r="A60" s="113"/>
      <c r="B60" s="113"/>
      <c r="C60" s="113"/>
      <c r="D60" s="184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2" spans="2:53" ht="12.7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</row>
    <row r="63" spans="1:53" ht="12.75">
      <c r="A63" s="21" t="s">
        <v>370</v>
      </c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</row>
    <row r="64" spans="1:53" ht="24.75" customHeight="1">
      <c r="A64" s="229" t="s">
        <v>225</v>
      </c>
      <c r="B64" s="5">
        <f>+$A31</f>
        <v>0</v>
      </c>
      <c r="C64" s="5">
        <f>+$A32</f>
        <v>0</v>
      </c>
      <c r="D64" s="5">
        <f>+$A33</f>
        <v>0</v>
      </c>
      <c r="E64" s="5">
        <f>+$A34</f>
        <v>0</v>
      </c>
      <c r="F64" s="5">
        <f>+$A35</f>
        <v>0</v>
      </c>
      <c r="G64" s="5">
        <f>+$A36</f>
        <v>0</v>
      </c>
      <c r="H64" s="5">
        <f>+$A37</f>
        <v>0</v>
      </c>
      <c r="I64" s="5">
        <f>+$A38</f>
        <v>0</v>
      </c>
      <c r="J64" s="5">
        <f>+$A39</f>
        <v>0</v>
      </c>
      <c r="K64" s="5">
        <f>+$A40</f>
        <v>0</v>
      </c>
      <c r="L64" s="5">
        <f>+$A41</f>
        <v>0</v>
      </c>
      <c r="M64" s="5">
        <f>+$A42</f>
        <v>0</v>
      </c>
      <c r="N64" s="5">
        <f>+$A43</f>
        <v>0</v>
      </c>
      <c r="O64" s="5">
        <f>+$A44</f>
        <v>0</v>
      </c>
      <c r="P64" s="5">
        <f>+$A45</f>
        <v>0</v>
      </c>
      <c r="Q64" s="5">
        <f>+$A46</f>
        <v>0</v>
      </c>
      <c r="R64" s="5">
        <f>+$A47</f>
        <v>0</v>
      </c>
      <c r="S64" s="5">
        <f>+$A48</f>
        <v>0</v>
      </c>
      <c r="T64" s="5">
        <f>+$A49</f>
        <v>0</v>
      </c>
      <c r="U64" s="5">
        <f>+$A50</f>
        <v>0</v>
      </c>
      <c r="V64" s="5">
        <f>+$A51</f>
        <v>0</v>
      </c>
      <c r="W64" s="5">
        <f>+$A52</f>
        <v>0</v>
      </c>
      <c r="X64" s="5">
        <f>+$A53</f>
        <v>0</v>
      </c>
      <c r="Y64" s="5">
        <f>+$A54</f>
        <v>0</v>
      </c>
      <c r="Z64" s="5">
        <f>+$A55</f>
        <v>0</v>
      </c>
      <c r="AA64" s="5">
        <f>+$A56</f>
        <v>0</v>
      </c>
      <c r="AB64" s="5">
        <f>+$A57</f>
        <v>0</v>
      </c>
      <c r="AC64" s="5">
        <f>+$A58</f>
        <v>0</v>
      </c>
      <c r="AD64" s="5">
        <f>+$A59</f>
        <v>0</v>
      </c>
      <c r="AE64" s="5">
        <f>+$A60</f>
        <v>0</v>
      </c>
      <c r="AF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</row>
    <row r="65" spans="1:53" ht="12.75">
      <c r="A65" s="229" t="s">
        <v>348</v>
      </c>
      <c r="B65" s="5">
        <f>+$C31-$B31</f>
        <v>0</v>
      </c>
      <c r="C65" s="5">
        <f>+$C32-$B32</f>
        <v>0</v>
      </c>
      <c r="D65" s="5">
        <f>+$C33-$B33</f>
        <v>0</v>
      </c>
      <c r="E65" s="5">
        <f>+$C34-$B34</f>
        <v>0</v>
      </c>
      <c r="F65" s="5">
        <f>+$C35-$B35</f>
        <v>0</v>
      </c>
      <c r="G65" s="5">
        <f>+$C36-$B36</f>
        <v>0</v>
      </c>
      <c r="H65" s="5">
        <f>+$C37-$B37</f>
        <v>0</v>
      </c>
      <c r="I65" s="5">
        <f>+$C38-$B38</f>
        <v>0</v>
      </c>
      <c r="J65" s="5">
        <f>+$C39-$B39</f>
        <v>0</v>
      </c>
      <c r="K65" s="5">
        <f>+$C40-$B40</f>
        <v>0</v>
      </c>
      <c r="L65" s="5">
        <f>+$C41-$B41</f>
        <v>0</v>
      </c>
      <c r="M65" s="5">
        <f>+$C42-$B42</f>
        <v>0</v>
      </c>
      <c r="N65" s="5">
        <f>+$C43-$B43</f>
        <v>0</v>
      </c>
      <c r="O65" s="5">
        <f>+$C44-$B44</f>
        <v>0</v>
      </c>
      <c r="P65" s="5">
        <f>+$C45-$B45</f>
        <v>0</v>
      </c>
      <c r="Q65" s="5">
        <f>+$C46-$B46</f>
        <v>0</v>
      </c>
      <c r="R65" s="5">
        <f>+$C47-$B47</f>
        <v>0</v>
      </c>
      <c r="S65" s="5">
        <f>+$C48-$B48</f>
        <v>0</v>
      </c>
      <c r="T65" s="5">
        <f>+$C49-$B49</f>
        <v>0</v>
      </c>
      <c r="U65" s="5">
        <f>+$C50-$B50</f>
        <v>0</v>
      </c>
      <c r="V65" s="5">
        <f>+$C51-$B51</f>
        <v>0</v>
      </c>
      <c r="W65" s="5">
        <f>+$C52-$B52</f>
        <v>0</v>
      </c>
      <c r="X65" s="5">
        <f>+$C53-$B53</f>
        <v>0</v>
      </c>
      <c r="Y65" s="5">
        <f>+$C54-$B54</f>
        <v>0</v>
      </c>
      <c r="Z65" s="5">
        <f>+$C55-$B55</f>
        <v>0</v>
      </c>
      <c r="AA65" s="5">
        <f>+$C56-$B56</f>
        <v>0</v>
      </c>
      <c r="AB65" s="5">
        <f>+$C57-$B57</f>
        <v>0</v>
      </c>
      <c r="AC65" s="5">
        <f>+$C58-$B58</f>
        <v>0</v>
      </c>
      <c r="AD65" s="5">
        <f>+$C59-$B59</f>
        <v>0</v>
      </c>
      <c r="AE65" s="5">
        <f>+$C60-$B60</f>
        <v>0</v>
      </c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</row>
    <row r="66" spans="31:53" ht="12.75"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</row>
    <row r="67" ht="12.75">
      <c r="A67" s="21" t="s">
        <v>366</v>
      </c>
    </row>
    <row r="68" ht="12.75">
      <c r="A68" s="235" t="s">
        <v>378</v>
      </c>
    </row>
    <row r="69" ht="12.75">
      <c r="A69" s="241" t="s">
        <v>375</v>
      </c>
    </row>
    <row r="70" ht="12.75">
      <c r="A70" s="235" t="s">
        <v>379</v>
      </c>
    </row>
    <row r="71" ht="12.75">
      <c r="A71" s="241" t="s">
        <v>381</v>
      </c>
    </row>
    <row r="72" ht="12.75">
      <c r="A72" s="241"/>
    </row>
    <row r="73" spans="1:31" ht="12.75">
      <c r="A73" s="230" t="s">
        <v>367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</row>
    <row r="74" spans="1:31" ht="12.75">
      <c r="A74" s="230" t="s">
        <v>368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</row>
    <row r="75" spans="1:31" ht="13.5" thickBot="1">
      <c r="A75" s="231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</row>
    <row r="76" spans="1:53" ht="13.5" thickBot="1">
      <c r="A76" t="s">
        <v>349</v>
      </c>
      <c r="B76" s="144">
        <f>SUM(B65:AE65)</f>
        <v>0</v>
      </c>
      <c r="C76" t="s">
        <v>231</v>
      </c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</row>
    <row r="77" spans="1:13" ht="12.75">
      <c r="A77" s="4" t="s">
        <v>380</v>
      </c>
      <c r="B77" s="113"/>
      <c r="C77" t="s">
        <v>231</v>
      </c>
      <c r="M77" s="98"/>
    </row>
    <row r="78" spans="1:13" ht="12.75">
      <c r="A78" s="4" t="s">
        <v>369</v>
      </c>
      <c r="B78" s="142">
        <f>SUM(B74:AE74)</f>
        <v>0</v>
      </c>
      <c r="C78" t="s">
        <v>231</v>
      </c>
      <c r="M78" s="98"/>
    </row>
    <row r="79" spans="6:13" ht="12.75">
      <c r="F79" s="98"/>
      <c r="M79" s="98"/>
    </row>
    <row r="80" spans="1:13" ht="26.25">
      <c r="A80" s="7" t="s">
        <v>229</v>
      </c>
      <c r="B80" s="113"/>
      <c r="C80" t="s">
        <v>91</v>
      </c>
      <c r="F80" s="140"/>
      <c r="M80" s="98"/>
    </row>
    <row r="81" spans="1:13" ht="26.25">
      <c r="A81" s="7" t="s">
        <v>230</v>
      </c>
      <c r="B81" s="113"/>
      <c r="C81" t="s">
        <v>91</v>
      </c>
      <c r="E81" s="140"/>
      <c r="M81" s="98"/>
    </row>
    <row r="82" spans="1:13" ht="15">
      <c r="A82" s="7"/>
      <c r="E82" s="140"/>
      <c r="M82" s="98"/>
    </row>
    <row r="83" spans="1:13" ht="15">
      <c r="A83" s="215" t="s">
        <v>214</v>
      </c>
      <c r="E83" s="140"/>
      <c r="M83" s="98"/>
    </row>
    <row r="84" spans="1:13" ht="15">
      <c r="A84" s="147" t="s">
        <v>53</v>
      </c>
      <c r="B84" s="158">
        <v>0.049</v>
      </c>
      <c r="M84" s="98"/>
    </row>
    <row r="85" spans="1:13" ht="15">
      <c r="A85" s="147" t="s">
        <v>52</v>
      </c>
      <c r="B85" s="158">
        <v>0.049</v>
      </c>
      <c r="M85" s="98"/>
    </row>
    <row r="86" spans="1:13" ht="12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M86" s="98"/>
    </row>
    <row r="87" spans="1:13" ht="12.75">
      <c r="A87" s="160" t="s">
        <v>296</v>
      </c>
      <c r="L87" s="103"/>
      <c r="M87" s="98"/>
    </row>
    <row r="88" spans="12:13" ht="12.75">
      <c r="L88" s="103"/>
      <c r="M88" s="98"/>
    </row>
    <row r="89" spans="12:13" ht="12.75">
      <c r="L89" s="103"/>
      <c r="M89" s="98"/>
    </row>
    <row r="90" spans="1:13" ht="12.75">
      <c r="A90" s="142" t="s">
        <v>228</v>
      </c>
      <c r="B90" s="142" t="s">
        <v>242</v>
      </c>
      <c r="C90" s="54" t="s">
        <v>297</v>
      </c>
      <c r="D90" s="54" t="s">
        <v>298</v>
      </c>
      <c r="E90" s="54" t="s">
        <v>299</v>
      </c>
      <c r="F90" s="54" t="s">
        <v>300</v>
      </c>
      <c r="G90" s="54" t="s">
        <v>301</v>
      </c>
      <c r="H90" s="54" t="s">
        <v>302</v>
      </c>
      <c r="I90" s="54" t="s">
        <v>303</v>
      </c>
      <c r="J90" s="142" t="s">
        <v>304</v>
      </c>
      <c r="L90" s="103"/>
      <c r="M90" s="98"/>
    </row>
    <row r="91" spans="1:13" ht="12.75">
      <c r="A91" s="142">
        <f aca="true" t="shared" si="0" ref="A91:A120">+C31-B31</f>
        <v>0</v>
      </c>
      <c r="B91" s="5">
        <f aca="true" t="shared" si="1" ref="B91:B120">+F31+G31</f>
        <v>0</v>
      </c>
      <c r="C91" s="5">
        <f aca="true" t="shared" si="2" ref="C91:C120">+H31+I31+L31+M31</f>
        <v>0</v>
      </c>
      <c r="D91" s="5">
        <f aca="true" t="shared" si="3" ref="D91:D120">+J31+K31</f>
        <v>0</v>
      </c>
      <c r="E91" s="70">
        <f aca="true" t="shared" si="4" ref="E91:F120">+$A91*D31</f>
        <v>0</v>
      </c>
      <c r="F91" s="70">
        <f t="shared" si="4"/>
        <v>0</v>
      </c>
      <c r="G91" s="70">
        <f aca="true" t="shared" si="5" ref="G91:I120">+$A91*B91</f>
        <v>0</v>
      </c>
      <c r="H91" s="70">
        <f t="shared" si="5"/>
        <v>0</v>
      </c>
      <c r="I91" s="70">
        <f t="shared" si="5"/>
        <v>0</v>
      </c>
      <c r="J91" s="70">
        <f aca="true" t="shared" si="6" ref="J91:J120">+$A91*N31</f>
        <v>0</v>
      </c>
      <c r="L91" s="103"/>
      <c r="M91" s="98"/>
    </row>
    <row r="92" spans="1:13" ht="12.75">
      <c r="A92" s="142">
        <f t="shared" si="0"/>
        <v>0</v>
      </c>
      <c r="B92" s="5">
        <f t="shared" si="1"/>
        <v>0</v>
      </c>
      <c r="C92" s="5">
        <f t="shared" si="2"/>
        <v>0</v>
      </c>
      <c r="D92" s="5">
        <f t="shared" si="3"/>
        <v>0</v>
      </c>
      <c r="E92" s="70">
        <f t="shared" si="4"/>
        <v>0</v>
      </c>
      <c r="F92" s="70">
        <f t="shared" si="4"/>
        <v>0</v>
      </c>
      <c r="G92" s="70">
        <f t="shared" si="5"/>
        <v>0</v>
      </c>
      <c r="H92" s="70">
        <f t="shared" si="5"/>
        <v>0</v>
      </c>
      <c r="I92" s="70">
        <f t="shared" si="5"/>
        <v>0</v>
      </c>
      <c r="J92" s="70">
        <f t="shared" si="6"/>
        <v>0</v>
      </c>
      <c r="L92" s="103"/>
      <c r="M92" s="98"/>
    </row>
    <row r="93" spans="1:13" ht="12.75">
      <c r="A93" s="142">
        <f t="shared" si="0"/>
        <v>0</v>
      </c>
      <c r="B93" s="5">
        <f t="shared" si="1"/>
        <v>0</v>
      </c>
      <c r="C93" s="5">
        <f t="shared" si="2"/>
        <v>0</v>
      </c>
      <c r="D93" s="5">
        <f t="shared" si="3"/>
        <v>0</v>
      </c>
      <c r="E93" s="70">
        <f t="shared" si="4"/>
        <v>0</v>
      </c>
      <c r="F93" s="70">
        <f t="shared" si="4"/>
        <v>0</v>
      </c>
      <c r="G93" s="70">
        <f t="shared" si="5"/>
        <v>0</v>
      </c>
      <c r="H93" s="70">
        <f t="shared" si="5"/>
        <v>0</v>
      </c>
      <c r="I93" s="70">
        <f t="shared" si="5"/>
        <v>0</v>
      </c>
      <c r="J93" s="70">
        <f t="shared" si="6"/>
        <v>0</v>
      </c>
      <c r="L93" s="103"/>
      <c r="M93" s="98"/>
    </row>
    <row r="94" spans="1:13" ht="12.75">
      <c r="A94" s="142">
        <f t="shared" si="0"/>
        <v>0</v>
      </c>
      <c r="B94" s="5">
        <f t="shared" si="1"/>
        <v>0</v>
      </c>
      <c r="C94" s="5">
        <f t="shared" si="2"/>
        <v>0</v>
      </c>
      <c r="D94" s="5">
        <f t="shared" si="3"/>
        <v>0</v>
      </c>
      <c r="E94" s="70">
        <f t="shared" si="4"/>
        <v>0</v>
      </c>
      <c r="F94" s="70">
        <f t="shared" si="4"/>
        <v>0</v>
      </c>
      <c r="G94" s="70">
        <f t="shared" si="5"/>
        <v>0</v>
      </c>
      <c r="H94" s="70">
        <f t="shared" si="5"/>
        <v>0</v>
      </c>
      <c r="I94" s="70">
        <f t="shared" si="5"/>
        <v>0</v>
      </c>
      <c r="J94" s="70">
        <f t="shared" si="6"/>
        <v>0</v>
      </c>
      <c r="L94" s="103"/>
      <c r="M94" s="98"/>
    </row>
    <row r="95" spans="1:13" ht="12.75">
      <c r="A95" s="142">
        <f t="shared" si="0"/>
        <v>0</v>
      </c>
      <c r="B95" s="5">
        <f t="shared" si="1"/>
        <v>0</v>
      </c>
      <c r="C95" s="5">
        <f t="shared" si="2"/>
        <v>0</v>
      </c>
      <c r="D95" s="5">
        <f t="shared" si="3"/>
        <v>0</v>
      </c>
      <c r="E95" s="70">
        <f t="shared" si="4"/>
        <v>0</v>
      </c>
      <c r="F95" s="70">
        <f t="shared" si="4"/>
        <v>0</v>
      </c>
      <c r="G95" s="70">
        <f t="shared" si="5"/>
        <v>0</v>
      </c>
      <c r="H95" s="70">
        <f t="shared" si="5"/>
        <v>0</v>
      </c>
      <c r="I95" s="70">
        <f t="shared" si="5"/>
        <v>0</v>
      </c>
      <c r="J95" s="70">
        <f t="shared" si="6"/>
        <v>0</v>
      </c>
      <c r="L95" s="103"/>
      <c r="M95" s="98"/>
    </row>
    <row r="96" spans="1:13" ht="12.75">
      <c r="A96" s="142">
        <f t="shared" si="0"/>
        <v>0</v>
      </c>
      <c r="B96" s="5">
        <f t="shared" si="1"/>
        <v>0</v>
      </c>
      <c r="C96" s="5">
        <f t="shared" si="2"/>
        <v>0</v>
      </c>
      <c r="D96" s="5">
        <f t="shared" si="3"/>
        <v>0</v>
      </c>
      <c r="E96" s="70">
        <f t="shared" si="4"/>
        <v>0</v>
      </c>
      <c r="F96" s="70">
        <f t="shared" si="4"/>
        <v>0</v>
      </c>
      <c r="G96" s="70">
        <f t="shared" si="5"/>
        <v>0</v>
      </c>
      <c r="H96" s="70">
        <f t="shared" si="5"/>
        <v>0</v>
      </c>
      <c r="I96" s="70">
        <f t="shared" si="5"/>
        <v>0</v>
      </c>
      <c r="J96" s="70">
        <f t="shared" si="6"/>
        <v>0</v>
      </c>
      <c r="L96" s="103"/>
      <c r="M96" s="98"/>
    </row>
    <row r="97" spans="1:13" ht="12.75">
      <c r="A97" s="142">
        <f t="shared" si="0"/>
        <v>0</v>
      </c>
      <c r="B97" s="5">
        <f t="shared" si="1"/>
        <v>0</v>
      </c>
      <c r="C97" s="5">
        <f t="shared" si="2"/>
        <v>0</v>
      </c>
      <c r="D97" s="5">
        <f t="shared" si="3"/>
        <v>0</v>
      </c>
      <c r="E97" s="70">
        <f t="shared" si="4"/>
        <v>0</v>
      </c>
      <c r="F97" s="70">
        <f t="shared" si="4"/>
        <v>0</v>
      </c>
      <c r="G97" s="70">
        <f t="shared" si="5"/>
        <v>0</v>
      </c>
      <c r="H97" s="70">
        <f t="shared" si="5"/>
        <v>0</v>
      </c>
      <c r="I97" s="70">
        <f t="shared" si="5"/>
        <v>0</v>
      </c>
      <c r="J97" s="70">
        <f t="shared" si="6"/>
        <v>0</v>
      </c>
      <c r="L97" s="103"/>
      <c r="M97" s="98"/>
    </row>
    <row r="98" spans="1:13" ht="12.75">
      <c r="A98" s="142">
        <f t="shared" si="0"/>
        <v>0</v>
      </c>
      <c r="B98" s="5">
        <f t="shared" si="1"/>
        <v>0</v>
      </c>
      <c r="C98" s="5">
        <f t="shared" si="2"/>
        <v>0</v>
      </c>
      <c r="D98" s="5">
        <f t="shared" si="3"/>
        <v>0</v>
      </c>
      <c r="E98" s="70">
        <f t="shared" si="4"/>
        <v>0</v>
      </c>
      <c r="F98" s="70">
        <f t="shared" si="4"/>
        <v>0</v>
      </c>
      <c r="G98" s="70">
        <f t="shared" si="5"/>
        <v>0</v>
      </c>
      <c r="H98" s="70">
        <f t="shared" si="5"/>
        <v>0</v>
      </c>
      <c r="I98" s="70">
        <f t="shared" si="5"/>
        <v>0</v>
      </c>
      <c r="J98" s="70">
        <f t="shared" si="6"/>
        <v>0</v>
      </c>
      <c r="L98" s="103"/>
      <c r="M98" s="98"/>
    </row>
    <row r="99" spans="1:13" ht="12.75">
      <c r="A99" s="142">
        <f t="shared" si="0"/>
        <v>0</v>
      </c>
      <c r="B99" s="5">
        <f t="shared" si="1"/>
        <v>0</v>
      </c>
      <c r="C99" s="5">
        <f t="shared" si="2"/>
        <v>0</v>
      </c>
      <c r="D99" s="5">
        <f t="shared" si="3"/>
        <v>0</v>
      </c>
      <c r="E99" s="70">
        <f t="shared" si="4"/>
        <v>0</v>
      </c>
      <c r="F99" s="70">
        <f t="shared" si="4"/>
        <v>0</v>
      </c>
      <c r="G99" s="70">
        <f t="shared" si="5"/>
        <v>0</v>
      </c>
      <c r="H99" s="70">
        <f t="shared" si="5"/>
        <v>0</v>
      </c>
      <c r="I99" s="70">
        <f t="shared" si="5"/>
        <v>0</v>
      </c>
      <c r="J99" s="70">
        <f t="shared" si="6"/>
        <v>0</v>
      </c>
      <c r="L99" s="103"/>
      <c r="M99" s="98"/>
    </row>
    <row r="100" spans="1:13" ht="12.75">
      <c r="A100" s="142">
        <f t="shared" si="0"/>
        <v>0</v>
      </c>
      <c r="B100" s="5">
        <f t="shared" si="1"/>
        <v>0</v>
      </c>
      <c r="C100" s="5">
        <f t="shared" si="2"/>
        <v>0</v>
      </c>
      <c r="D100" s="54">
        <f t="shared" si="3"/>
        <v>0</v>
      </c>
      <c r="E100" s="70">
        <f t="shared" si="4"/>
        <v>0</v>
      </c>
      <c r="F100" s="70">
        <f t="shared" si="4"/>
        <v>0</v>
      </c>
      <c r="G100" s="70">
        <f t="shared" si="5"/>
        <v>0</v>
      </c>
      <c r="H100" s="70">
        <f t="shared" si="5"/>
        <v>0</v>
      </c>
      <c r="I100" s="70">
        <f t="shared" si="5"/>
        <v>0</v>
      </c>
      <c r="J100" s="70">
        <f t="shared" si="6"/>
        <v>0</v>
      </c>
      <c r="L100" s="103"/>
      <c r="M100" s="98"/>
    </row>
    <row r="101" spans="1:13" ht="12.75">
      <c r="A101" s="142">
        <f t="shared" si="0"/>
        <v>0</v>
      </c>
      <c r="B101" s="5">
        <f t="shared" si="1"/>
        <v>0</v>
      </c>
      <c r="C101" s="5">
        <f t="shared" si="2"/>
        <v>0</v>
      </c>
      <c r="D101" s="54">
        <f t="shared" si="3"/>
        <v>0</v>
      </c>
      <c r="E101" s="70">
        <f t="shared" si="4"/>
        <v>0</v>
      </c>
      <c r="F101" s="70">
        <f t="shared" si="4"/>
        <v>0</v>
      </c>
      <c r="G101" s="70">
        <f t="shared" si="5"/>
        <v>0</v>
      </c>
      <c r="H101" s="70">
        <f t="shared" si="5"/>
        <v>0</v>
      </c>
      <c r="I101" s="70">
        <f t="shared" si="5"/>
        <v>0</v>
      </c>
      <c r="J101" s="70">
        <f t="shared" si="6"/>
        <v>0</v>
      </c>
      <c r="L101" s="103"/>
      <c r="M101" s="98"/>
    </row>
    <row r="102" spans="1:13" ht="12.75">
      <c r="A102" s="142">
        <f t="shared" si="0"/>
        <v>0</v>
      </c>
      <c r="B102" s="5">
        <f t="shared" si="1"/>
        <v>0</v>
      </c>
      <c r="C102" s="5">
        <f t="shared" si="2"/>
        <v>0</v>
      </c>
      <c r="D102" s="54">
        <f t="shared" si="3"/>
        <v>0</v>
      </c>
      <c r="E102" s="70">
        <f t="shared" si="4"/>
        <v>0</v>
      </c>
      <c r="F102" s="70">
        <f t="shared" si="4"/>
        <v>0</v>
      </c>
      <c r="G102" s="70">
        <f t="shared" si="5"/>
        <v>0</v>
      </c>
      <c r="H102" s="70">
        <f t="shared" si="5"/>
        <v>0</v>
      </c>
      <c r="I102" s="70">
        <f t="shared" si="5"/>
        <v>0</v>
      </c>
      <c r="J102" s="70">
        <f t="shared" si="6"/>
        <v>0</v>
      </c>
      <c r="L102" s="103"/>
      <c r="M102" s="98"/>
    </row>
    <row r="103" spans="1:13" ht="12.75">
      <c r="A103" s="142">
        <f t="shared" si="0"/>
        <v>0</v>
      </c>
      <c r="B103" s="5">
        <f t="shared" si="1"/>
        <v>0</v>
      </c>
      <c r="C103" s="5">
        <f t="shared" si="2"/>
        <v>0</v>
      </c>
      <c r="D103" s="54">
        <f t="shared" si="3"/>
        <v>0</v>
      </c>
      <c r="E103" s="70">
        <f t="shared" si="4"/>
        <v>0</v>
      </c>
      <c r="F103" s="70">
        <f t="shared" si="4"/>
        <v>0</v>
      </c>
      <c r="G103" s="70">
        <f t="shared" si="5"/>
        <v>0</v>
      </c>
      <c r="H103" s="70">
        <f t="shared" si="5"/>
        <v>0</v>
      </c>
      <c r="I103" s="70">
        <f t="shared" si="5"/>
        <v>0</v>
      </c>
      <c r="J103" s="70">
        <f t="shared" si="6"/>
        <v>0</v>
      </c>
      <c r="L103" s="103"/>
      <c r="M103" s="98"/>
    </row>
    <row r="104" spans="1:13" ht="12.75">
      <c r="A104" s="142">
        <f t="shared" si="0"/>
        <v>0</v>
      </c>
      <c r="B104" s="5">
        <f t="shared" si="1"/>
        <v>0</v>
      </c>
      <c r="C104" s="5">
        <f t="shared" si="2"/>
        <v>0</v>
      </c>
      <c r="D104" s="54">
        <f t="shared" si="3"/>
        <v>0</v>
      </c>
      <c r="E104" s="70">
        <f t="shared" si="4"/>
        <v>0</v>
      </c>
      <c r="F104" s="70">
        <f t="shared" si="4"/>
        <v>0</v>
      </c>
      <c r="G104" s="70">
        <f t="shared" si="5"/>
        <v>0</v>
      </c>
      <c r="H104" s="70">
        <f t="shared" si="5"/>
        <v>0</v>
      </c>
      <c r="I104" s="70">
        <f t="shared" si="5"/>
        <v>0</v>
      </c>
      <c r="J104" s="70">
        <f t="shared" si="6"/>
        <v>0</v>
      </c>
      <c r="L104" s="103"/>
      <c r="M104" s="98"/>
    </row>
    <row r="105" spans="1:13" ht="12.75">
      <c r="A105" s="142">
        <f t="shared" si="0"/>
        <v>0</v>
      </c>
      <c r="B105" s="5">
        <f t="shared" si="1"/>
        <v>0</v>
      </c>
      <c r="C105" s="5">
        <f t="shared" si="2"/>
        <v>0</v>
      </c>
      <c r="D105" s="54">
        <f t="shared" si="3"/>
        <v>0</v>
      </c>
      <c r="E105" s="70">
        <f t="shared" si="4"/>
        <v>0</v>
      </c>
      <c r="F105" s="70">
        <f t="shared" si="4"/>
        <v>0</v>
      </c>
      <c r="G105" s="70">
        <f t="shared" si="5"/>
        <v>0</v>
      </c>
      <c r="H105" s="70">
        <f t="shared" si="5"/>
        <v>0</v>
      </c>
      <c r="I105" s="70">
        <f t="shared" si="5"/>
        <v>0</v>
      </c>
      <c r="J105" s="70">
        <f t="shared" si="6"/>
        <v>0</v>
      </c>
      <c r="L105" s="103"/>
      <c r="M105" s="98"/>
    </row>
    <row r="106" spans="1:13" ht="12.75">
      <c r="A106" s="142">
        <f t="shared" si="0"/>
        <v>0</v>
      </c>
      <c r="B106" s="5">
        <f t="shared" si="1"/>
        <v>0</v>
      </c>
      <c r="C106" s="5">
        <f t="shared" si="2"/>
        <v>0</v>
      </c>
      <c r="D106" s="54">
        <f t="shared" si="3"/>
        <v>0</v>
      </c>
      <c r="E106" s="70">
        <f t="shared" si="4"/>
        <v>0</v>
      </c>
      <c r="F106" s="70">
        <f t="shared" si="4"/>
        <v>0</v>
      </c>
      <c r="G106" s="70">
        <f t="shared" si="5"/>
        <v>0</v>
      </c>
      <c r="H106" s="70">
        <f t="shared" si="5"/>
        <v>0</v>
      </c>
      <c r="I106" s="70">
        <f t="shared" si="5"/>
        <v>0</v>
      </c>
      <c r="J106" s="70">
        <f t="shared" si="6"/>
        <v>0</v>
      </c>
      <c r="L106" s="103"/>
      <c r="M106" s="98"/>
    </row>
    <row r="107" spans="1:13" ht="12.75">
      <c r="A107" s="142">
        <f t="shared" si="0"/>
        <v>0</v>
      </c>
      <c r="B107" s="5">
        <f t="shared" si="1"/>
        <v>0</v>
      </c>
      <c r="C107" s="5">
        <f t="shared" si="2"/>
        <v>0</v>
      </c>
      <c r="D107" s="54">
        <f t="shared" si="3"/>
        <v>0</v>
      </c>
      <c r="E107" s="70">
        <f t="shared" si="4"/>
        <v>0</v>
      </c>
      <c r="F107" s="70">
        <f t="shared" si="4"/>
        <v>0</v>
      </c>
      <c r="G107" s="70">
        <f t="shared" si="5"/>
        <v>0</v>
      </c>
      <c r="H107" s="70">
        <f t="shared" si="5"/>
        <v>0</v>
      </c>
      <c r="I107" s="70">
        <f t="shared" si="5"/>
        <v>0</v>
      </c>
      <c r="J107" s="70">
        <f t="shared" si="6"/>
        <v>0</v>
      </c>
      <c r="L107" s="103"/>
      <c r="M107" s="98"/>
    </row>
    <row r="108" spans="1:13" ht="12.75">
      <c r="A108" s="142">
        <f t="shared" si="0"/>
        <v>0</v>
      </c>
      <c r="B108" s="5">
        <f t="shared" si="1"/>
        <v>0</v>
      </c>
      <c r="C108" s="5">
        <f t="shared" si="2"/>
        <v>0</v>
      </c>
      <c r="D108" s="54">
        <f t="shared" si="3"/>
        <v>0</v>
      </c>
      <c r="E108" s="70">
        <f t="shared" si="4"/>
        <v>0</v>
      </c>
      <c r="F108" s="70">
        <f t="shared" si="4"/>
        <v>0</v>
      </c>
      <c r="G108" s="70">
        <f t="shared" si="5"/>
        <v>0</v>
      </c>
      <c r="H108" s="70">
        <f t="shared" si="5"/>
        <v>0</v>
      </c>
      <c r="I108" s="70">
        <f t="shared" si="5"/>
        <v>0</v>
      </c>
      <c r="J108" s="70">
        <f t="shared" si="6"/>
        <v>0</v>
      </c>
      <c r="L108" s="103"/>
      <c r="M108" s="98"/>
    </row>
    <row r="109" spans="1:13" ht="12.75">
      <c r="A109" s="142">
        <f t="shared" si="0"/>
        <v>0</v>
      </c>
      <c r="B109" s="5">
        <f t="shared" si="1"/>
        <v>0</v>
      </c>
      <c r="C109" s="5">
        <f t="shared" si="2"/>
        <v>0</v>
      </c>
      <c r="D109" s="54">
        <f t="shared" si="3"/>
        <v>0</v>
      </c>
      <c r="E109" s="70">
        <f t="shared" si="4"/>
        <v>0</v>
      </c>
      <c r="F109" s="70">
        <f t="shared" si="4"/>
        <v>0</v>
      </c>
      <c r="G109" s="70">
        <f t="shared" si="5"/>
        <v>0</v>
      </c>
      <c r="H109" s="70">
        <f t="shared" si="5"/>
        <v>0</v>
      </c>
      <c r="I109" s="70">
        <f t="shared" si="5"/>
        <v>0</v>
      </c>
      <c r="J109" s="70">
        <f t="shared" si="6"/>
        <v>0</v>
      </c>
      <c r="L109" s="103"/>
      <c r="M109" s="98"/>
    </row>
    <row r="110" spans="1:13" ht="12.75">
      <c r="A110" s="142">
        <f t="shared" si="0"/>
        <v>0</v>
      </c>
      <c r="B110" s="5">
        <f t="shared" si="1"/>
        <v>0</v>
      </c>
      <c r="C110" s="5">
        <f t="shared" si="2"/>
        <v>0</v>
      </c>
      <c r="D110" s="54">
        <f t="shared" si="3"/>
        <v>0</v>
      </c>
      <c r="E110" s="70">
        <f t="shared" si="4"/>
        <v>0</v>
      </c>
      <c r="F110" s="70">
        <f t="shared" si="4"/>
        <v>0</v>
      </c>
      <c r="G110" s="70">
        <f t="shared" si="5"/>
        <v>0</v>
      </c>
      <c r="H110" s="70">
        <f t="shared" si="5"/>
        <v>0</v>
      </c>
      <c r="I110" s="70">
        <f t="shared" si="5"/>
        <v>0</v>
      </c>
      <c r="J110" s="70">
        <f t="shared" si="6"/>
        <v>0</v>
      </c>
      <c r="L110" s="103"/>
      <c r="M110" s="98"/>
    </row>
    <row r="111" spans="1:13" ht="12.75">
      <c r="A111" s="142">
        <f t="shared" si="0"/>
        <v>0</v>
      </c>
      <c r="B111" s="5">
        <f t="shared" si="1"/>
        <v>0</v>
      </c>
      <c r="C111" s="5">
        <f t="shared" si="2"/>
        <v>0</v>
      </c>
      <c r="D111" s="54">
        <f t="shared" si="3"/>
        <v>0</v>
      </c>
      <c r="E111" s="70">
        <f t="shared" si="4"/>
        <v>0</v>
      </c>
      <c r="F111" s="70">
        <f t="shared" si="4"/>
        <v>0</v>
      </c>
      <c r="G111" s="70">
        <f t="shared" si="5"/>
        <v>0</v>
      </c>
      <c r="H111" s="70">
        <f t="shared" si="5"/>
        <v>0</v>
      </c>
      <c r="I111" s="70">
        <f t="shared" si="5"/>
        <v>0</v>
      </c>
      <c r="J111" s="70">
        <f t="shared" si="6"/>
        <v>0</v>
      </c>
      <c r="L111" s="103"/>
      <c r="M111" s="98"/>
    </row>
    <row r="112" spans="1:13" ht="12.75">
      <c r="A112" s="142">
        <f t="shared" si="0"/>
        <v>0</v>
      </c>
      <c r="B112" s="5">
        <f t="shared" si="1"/>
        <v>0</v>
      </c>
      <c r="C112" s="5">
        <f t="shared" si="2"/>
        <v>0</v>
      </c>
      <c r="D112" s="54">
        <f t="shared" si="3"/>
        <v>0</v>
      </c>
      <c r="E112" s="70">
        <f t="shared" si="4"/>
        <v>0</v>
      </c>
      <c r="F112" s="70">
        <f t="shared" si="4"/>
        <v>0</v>
      </c>
      <c r="G112" s="70">
        <f t="shared" si="5"/>
        <v>0</v>
      </c>
      <c r="H112" s="70">
        <f t="shared" si="5"/>
        <v>0</v>
      </c>
      <c r="I112" s="70">
        <f t="shared" si="5"/>
        <v>0</v>
      </c>
      <c r="J112" s="70">
        <f t="shared" si="6"/>
        <v>0</v>
      </c>
      <c r="L112" s="103"/>
      <c r="M112" s="98"/>
    </row>
    <row r="113" spans="1:13" ht="12.75">
      <c r="A113" s="142">
        <f t="shared" si="0"/>
        <v>0</v>
      </c>
      <c r="B113" s="5">
        <f t="shared" si="1"/>
        <v>0</v>
      </c>
      <c r="C113" s="5">
        <f t="shared" si="2"/>
        <v>0</v>
      </c>
      <c r="D113" s="54">
        <f t="shared" si="3"/>
        <v>0</v>
      </c>
      <c r="E113" s="70">
        <f t="shared" si="4"/>
        <v>0</v>
      </c>
      <c r="F113" s="70">
        <f t="shared" si="4"/>
        <v>0</v>
      </c>
      <c r="G113" s="70">
        <f t="shared" si="5"/>
        <v>0</v>
      </c>
      <c r="H113" s="70">
        <f t="shared" si="5"/>
        <v>0</v>
      </c>
      <c r="I113" s="70">
        <f t="shared" si="5"/>
        <v>0</v>
      </c>
      <c r="J113" s="70">
        <f t="shared" si="6"/>
        <v>0</v>
      </c>
      <c r="L113" s="103"/>
      <c r="M113" s="98"/>
    </row>
    <row r="114" spans="1:13" ht="12.75">
      <c r="A114" s="142">
        <f t="shared" si="0"/>
        <v>0</v>
      </c>
      <c r="B114" s="5">
        <f t="shared" si="1"/>
        <v>0</v>
      </c>
      <c r="C114" s="5">
        <f t="shared" si="2"/>
        <v>0</v>
      </c>
      <c r="D114" s="54">
        <f t="shared" si="3"/>
        <v>0</v>
      </c>
      <c r="E114" s="70">
        <f t="shared" si="4"/>
        <v>0</v>
      </c>
      <c r="F114" s="70">
        <f t="shared" si="4"/>
        <v>0</v>
      </c>
      <c r="G114" s="70">
        <f t="shared" si="5"/>
        <v>0</v>
      </c>
      <c r="H114" s="70">
        <f t="shared" si="5"/>
        <v>0</v>
      </c>
      <c r="I114" s="70">
        <f t="shared" si="5"/>
        <v>0</v>
      </c>
      <c r="J114" s="70">
        <f t="shared" si="6"/>
        <v>0</v>
      </c>
      <c r="L114" s="103"/>
      <c r="M114" s="98"/>
    </row>
    <row r="115" spans="1:13" ht="12.75">
      <c r="A115" s="142">
        <f t="shared" si="0"/>
        <v>0</v>
      </c>
      <c r="B115" s="5">
        <f t="shared" si="1"/>
        <v>0</v>
      </c>
      <c r="C115" s="5">
        <f t="shared" si="2"/>
        <v>0</v>
      </c>
      <c r="D115" s="54">
        <f t="shared" si="3"/>
        <v>0</v>
      </c>
      <c r="E115" s="70">
        <f t="shared" si="4"/>
        <v>0</v>
      </c>
      <c r="F115" s="70">
        <f t="shared" si="4"/>
        <v>0</v>
      </c>
      <c r="G115" s="70">
        <f t="shared" si="5"/>
        <v>0</v>
      </c>
      <c r="H115" s="70">
        <f t="shared" si="5"/>
        <v>0</v>
      </c>
      <c r="I115" s="70">
        <f t="shared" si="5"/>
        <v>0</v>
      </c>
      <c r="J115" s="70">
        <f t="shared" si="6"/>
        <v>0</v>
      </c>
      <c r="L115" s="103"/>
      <c r="M115" s="98"/>
    </row>
    <row r="116" spans="1:13" ht="12.75">
      <c r="A116" s="142">
        <f t="shared" si="0"/>
        <v>0</v>
      </c>
      <c r="B116" s="5">
        <f t="shared" si="1"/>
        <v>0</v>
      </c>
      <c r="C116" s="5">
        <f t="shared" si="2"/>
        <v>0</v>
      </c>
      <c r="D116" s="54">
        <f t="shared" si="3"/>
        <v>0</v>
      </c>
      <c r="E116" s="70">
        <f t="shared" si="4"/>
        <v>0</v>
      </c>
      <c r="F116" s="70">
        <f t="shared" si="4"/>
        <v>0</v>
      </c>
      <c r="G116" s="70">
        <f t="shared" si="5"/>
        <v>0</v>
      </c>
      <c r="H116" s="70">
        <f t="shared" si="5"/>
        <v>0</v>
      </c>
      <c r="I116" s="70">
        <f t="shared" si="5"/>
        <v>0</v>
      </c>
      <c r="J116" s="70">
        <f t="shared" si="6"/>
        <v>0</v>
      </c>
      <c r="L116" s="103"/>
      <c r="M116" s="98"/>
    </row>
    <row r="117" spans="1:13" ht="12.75">
      <c r="A117" s="142">
        <f t="shared" si="0"/>
        <v>0</v>
      </c>
      <c r="B117" s="5">
        <f t="shared" si="1"/>
        <v>0</v>
      </c>
      <c r="C117" s="5">
        <f t="shared" si="2"/>
        <v>0</v>
      </c>
      <c r="D117" s="54">
        <f t="shared" si="3"/>
        <v>0</v>
      </c>
      <c r="E117" s="70">
        <f t="shared" si="4"/>
        <v>0</v>
      </c>
      <c r="F117" s="70">
        <f t="shared" si="4"/>
        <v>0</v>
      </c>
      <c r="G117" s="70">
        <f t="shared" si="5"/>
        <v>0</v>
      </c>
      <c r="H117" s="70">
        <f t="shared" si="5"/>
        <v>0</v>
      </c>
      <c r="I117" s="70">
        <f t="shared" si="5"/>
        <v>0</v>
      </c>
      <c r="J117" s="70">
        <f t="shared" si="6"/>
        <v>0</v>
      </c>
      <c r="L117" s="103"/>
      <c r="M117" s="98"/>
    </row>
    <row r="118" spans="1:13" ht="12.75">
      <c r="A118" s="142">
        <f t="shared" si="0"/>
        <v>0</v>
      </c>
      <c r="B118" s="5">
        <f t="shared" si="1"/>
        <v>0</v>
      </c>
      <c r="C118" s="5">
        <f t="shared" si="2"/>
        <v>0</v>
      </c>
      <c r="D118" s="54">
        <f t="shared" si="3"/>
        <v>0</v>
      </c>
      <c r="E118" s="70">
        <f t="shared" si="4"/>
        <v>0</v>
      </c>
      <c r="F118" s="70">
        <f t="shared" si="4"/>
        <v>0</v>
      </c>
      <c r="G118" s="70">
        <f t="shared" si="5"/>
        <v>0</v>
      </c>
      <c r="H118" s="70">
        <f t="shared" si="5"/>
        <v>0</v>
      </c>
      <c r="I118" s="70">
        <f t="shared" si="5"/>
        <v>0</v>
      </c>
      <c r="J118" s="70">
        <f t="shared" si="6"/>
        <v>0</v>
      </c>
      <c r="L118" s="103"/>
      <c r="M118" s="98"/>
    </row>
    <row r="119" spans="1:13" ht="12.75">
      <c r="A119" s="142">
        <f t="shared" si="0"/>
        <v>0</v>
      </c>
      <c r="B119" s="5">
        <f t="shared" si="1"/>
        <v>0</v>
      </c>
      <c r="C119" s="5">
        <f t="shared" si="2"/>
        <v>0</v>
      </c>
      <c r="D119" s="54">
        <f t="shared" si="3"/>
        <v>0</v>
      </c>
      <c r="E119" s="70">
        <f t="shared" si="4"/>
        <v>0</v>
      </c>
      <c r="F119" s="70">
        <f t="shared" si="4"/>
        <v>0</v>
      </c>
      <c r="G119" s="70">
        <f t="shared" si="5"/>
        <v>0</v>
      </c>
      <c r="H119" s="70">
        <f t="shared" si="5"/>
        <v>0</v>
      </c>
      <c r="I119" s="70">
        <f t="shared" si="5"/>
        <v>0</v>
      </c>
      <c r="J119" s="70">
        <f t="shared" si="6"/>
        <v>0</v>
      </c>
      <c r="L119" s="103"/>
      <c r="M119" s="98"/>
    </row>
    <row r="120" spans="1:13" ht="13.5" thickBot="1">
      <c r="A120" s="142">
        <f t="shared" si="0"/>
        <v>0</v>
      </c>
      <c r="B120" s="5">
        <f t="shared" si="1"/>
        <v>0</v>
      </c>
      <c r="C120" s="5">
        <f t="shared" si="2"/>
        <v>0</v>
      </c>
      <c r="D120" s="54">
        <f t="shared" si="3"/>
        <v>0</v>
      </c>
      <c r="E120" s="161">
        <f t="shared" si="4"/>
        <v>0</v>
      </c>
      <c r="F120" s="70">
        <f t="shared" si="4"/>
        <v>0</v>
      </c>
      <c r="G120" s="161">
        <f t="shared" si="5"/>
        <v>0</v>
      </c>
      <c r="H120" s="161">
        <f t="shared" si="5"/>
        <v>0</v>
      </c>
      <c r="I120" s="161">
        <f t="shared" si="5"/>
        <v>0</v>
      </c>
      <c r="J120" s="161">
        <f t="shared" si="6"/>
        <v>0</v>
      </c>
      <c r="L120" s="103"/>
      <c r="M120" s="98"/>
    </row>
    <row r="121" spans="4:13" ht="13.5" thickBot="1">
      <c r="D121" s="57"/>
      <c r="E121" s="162">
        <f aca="true" t="shared" si="7" ref="E121:J121">SUM(E91:E120)</f>
        <v>0</v>
      </c>
      <c r="F121" s="163">
        <f t="shared" si="7"/>
        <v>0</v>
      </c>
      <c r="G121" s="163">
        <f t="shared" si="7"/>
        <v>0</v>
      </c>
      <c r="H121" s="163">
        <f t="shared" si="7"/>
        <v>0</v>
      </c>
      <c r="I121" s="163">
        <f t="shared" si="7"/>
        <v>0</v>
      </c>
      <c r="J121" s="164">
        <f t="shared" si="7"/>
        <v>0</v>
      </c>
      <c r="K121" t="s">
        <v>305</v>
      </c>
      <c r="L121" s="103"/>
      <c r="M121" s="98"/>
    </row>
    <row r="122" spans="3:13" ht="12.75">
      <c r="C122" s="165"/>
      <c r="D122" s="57"/>
      <c r="E122" s="57"/>
      <c r="F122" s="57"/>
      <c r="G122" s="57"/>
      <c r="H122" s="57"/>
      <c r="L122" s="103"/>
      <c r="M122" s="98"/>
    </row>
    <row r="123" spans="1:13" ht="12.75">
      <c r="A123" s="100"/>
      <c r="B123" s="100"/>
      <c r="C123" s="100"/>
      <c r="D123" s="100"/>
      <c r="E123" s="100"/>
      <c r="F123" s="100"/>
      <c r="G123" s="100"/>
      <c r="L123" s="103"/>
      <c r="M123" s="98"/>
    </row>
    <row r="124" spans="2:13" ht="12.75">
      <c r="B124" s="166"/>
      <c r="C124" s="98"/>
      <c r="D124" s="95"/>
      <c r="E124" s="95"/>
      <c r="F124" s="95"/>
      <c r="G124" s="95"/>
      <c r="H124" s="167"/>
      <c r="K124" s="7"/>
      <c r="L124" s="103"/>
      <c r="M124" s="98"/>
    </row>
    <row r="125" spans="2:13" ht="12.75">
      <c r="B125" s="95"/>
      <c r="C125" s="95"/>
      <c r="D125" s="95"/>
      <c r="E125" s="95"/>
      <c r="F125" s="95"/>
      <c r="G125" s="95"/>
      <c r="H125" s="167"/>
      <c r="L125" s="103"/>
      <c r="M125" s="98"/>
    </row>
    <row r="126" spans="1:13" ht="25.5">
      <c r="A126" s="160"/>
      <c r="B126" s="95" t="s">
        <v>306</v>
      </c>
      <c r="C126" s="147" t="s">
        <v>307</v>
      </c>
      <c r="E126" s="147" t="s">
        <v>385</v>
      </c>
      <c r="F126" s="105" t="s">
        <v>262</v>
      </c>
      <c r="G126" s="95"/>
      <c r="H126" s="167"/>
      <c r="L126" s="103"/>
      <c r="M126" s="98"/>
    </row>
    <row r="127" spans="1:13" ht="12.75">
      <c r="A127" s="7" t="s">
        <v>308</v>
      </c>
      <c r="B127" s="5">
        <f>+IF(B10=1,B11/60*43*1.05*2,B11/60*43*2)</f>
        <v>0</v>
      </c>
      <c r="H127" s="167"/>
      <c r="I127" s="95"/>
      <c r="J127" s="95"/>
      <c r="K127" s="95"/>
      <c r="L127" s="103"/>
      <c r="M127" s="98"/>
    </row>
    <row r="128" spans="1:13" ht="27">
      <c r="A128" s="7" t="s">
        <v>309</v>
      </c>
      <c r="B128" s="145" t="e">
        <f>+B$12/(B$12+B$13)*B127*253.173214*1.5</f>
        <v>#DIV/0!</v>
      </c>
      <c r="C128" s="168" t="e">
        <f>+B128/100*'emissziós faktorok'!B$25</f>
        <v>#DIV/0!</v>
      </c>
      <c r="F128" s="5" t="e">
        <f>+G152</f>
        <v>#DIV/0!</v>
      </c>
      <c r="G128" s="4" t="s">
        <v>360</v>
      </c>
      <c r="H128" s="167"/>
      <c r="I128" s="95"/>
      <c r="J128" s="95"/>
      <c r="K128" s="95"/>
      <c r="L128" s="103"/>
      <c r="M128" s="98"/>
    </row>
    <row r="129" spans="1:13" ht="27">
      <c r="A129" s="7" t="s">
        <v>310</v>
      </c>
      <c r="B129" s="145" t="e">
        <f>+B$13/(B$12+B$13)*B127*253.173214*1.5</f>
        <v>#DIV/0!</v>
      </c>
      <c r="C129" s="168" t="e">
        <f>+B129/100*'emissziós faktorok'!C$25</f>
        <v>#DIV/0!</v>
      </c>
      <c r="F129" s="5" t="e">
        <f>+F152</f>
        <v>#DIV/0!</v>
      </c>
      <c r="G129" s="4" t="s">
        <v>360</v>
      </c>
      <c r="H129" s="103"/>
      <c r="J129" s="95"/>
      <c r="K129" s="95"/>
      <c r="L129" s="103"/>
      <c r="M129" s="98"/>
    </row>
    <row r="130" spans="1:13" ht="12.75">
      <c r="A130" s="7" t="s">
        <v>311</v>
      </c>
      <c r="B130" s="5">
        <f>+IF(B19=0,B20*0.65,B20*1.2)</f>
        <v>0</v>
      </c>
      <c r="C130" s="95"/>
      <c r="H130" s="103"/>
      <c r="I130" s="95"/>
      <c r="J130" s="95"/>
      <c r="K130" s="95"/>
      <c r="L130" s="103"/>
      <c r="M130" s="98"/>
    </row>
    <row r="131" spans="1:13" ht="27">
      <c r="A131" s="7" t="s">
        <v>312</v>
      </c>
      <c r="B131" s="145" t="e">
        <f>+B$12/(B$12+B$13)*B130*253.173214*1.5</f>
        <v>#DIV/0!</v>
      </c>
      <c r="C131" s="168" t="e">
        <f>+B131/100*'emissziós faktorok'!B$25</f>
        <v>#DIV/0!</v>
      </c>
      <c r="F131" s="145" t="e">
        <f>+G153</f>
        <v>#DIV/0!</v>
      </c>
      <c r="G131" s="4" t="s">
        <v>360</v>
      </c>
      <c r="H131" s="103"/>
      <c r="I131" s="95"/>
      <c r="J131" s="95"/>
      <c r="K131" s="95"/>
      <c r="L131" s="103"/>
      <c r="M131" s="98"/>
    </row>
    <row r="132" spans="1:13" ht="27">
      <c r="A132" s="7" t="s">
        <v>313</v>
      </c>
      <c r="B132" s="145" t="e">
        <f>+B$13/(B$12+B$13)*B130*253.173214*1.5</f>
        <v>#DIV/0!</v>
      </c>
      <c r="C132" s="168" t="e">
        <f>+B132/100*'emissziós faktorok'!C$25</f>
        <v>#DIV/0!</v>
      </c>
      <c r="D132" s="95"/>
      <c r="E132" s="95"/>
      <c r="F132" s="145" t="e">
        <f>+F153</f>
        <v>#DIV/0!</v>
      </c>
      <c r="G132" s="4" t="s">
        <v>360</v>
      </c>
      <c r="H132" s="167"/>
      <c r="I132" s="95"/>
      <c r="J132" s="95"/>
      <c r="K132" s="95"/>
      <c r="L132" s="103"/>
      <c r="M132" s="98"/>
    </row>
    <row r="133" spans="1:12" ht="12.75">
      <c r="A133" s="7"/>
      <c r="B133" s="165"/>
      <c r="C133" s="169"/>
      <c r="D133" s="95"/>
      <c r="E133" s="95"/>
      <c r="F133" s="165"/>
      <c r="H133" s="167"/>
      <c r="I133" s="95"/>
      <c r="J133" s="95"/>
      <c r="K133" s="95"/>
      <c r="L133" s="103"/>
    </row>
    <row r="134" spans="1:12" ht="12.75">
      <c r="A134" s="7" t="s">
        <v>314</v>
      </c>
      <c r="B134" s="95"/>
      <c r="C134" s="95"/>
      <c r="D134" s="95"/>
      <c r="E134" s="95"/>
      <c r="F134" s="165"/>
      <c r="H134" s="167"/>
      <c r="I134" s="95"/>
      <c r="J134" s="95"/>
      <c r="K134" s="95"/>
      <c r="L134" s="103"/>
    </row>
    <row r="135" spans="1:12" ht="15.75">
      <c r="A135" s="170" t="s">
        <v>315</v>
      </c>
      <c r="B135" s="145" t="e">
        <f>+B80/(B$80+B$81)*E121*365</f>
        <v>#DIV/0!</v>
      </c>
      <c r="C135" s="168" t="e">
        <f>+B135/100*'emissziós faktorok'!B$25</f>
        <v>#DIV/0!</v>
      </c>
      <c r="D135" s="95"/>
      <c r="E135" s="168" t="e">
        <f>+C135+C141</f>
        <v>#DIV/0!</v>
      </c>
      <c r="F135" s="145" t="e">
        <f>+G154</f>
        <v>#DIV/0!</v>
      </c>
      <c r="G135" s="4" t="s">
        <v>360</v>
      </c>
      <c r="H135" s="167"/>
      <c r="I135" s="95"/>
      <c r="J135" s="95"/>
      <c r="K135" s="95"/>
      <c r="L135" s="103"/>
    </row>
    <row r="136" spans="1:12" ht="15.75">
      <c r="A136" s="170" t="s">
        <v>316</v>
      </c>
      <c r="B136" s="145" t="e">
        <f>+B81/(B$80+B$81)*E121*365</f>
        <v>#DIV/0!</v>
      </c>
      <c r="C136" s="168" t="e">
        <f>+B136/100*'emissziós faktorok'!C$25</f>
        <v>#DIV/0!</v>
      </c>
      <c r="D136" s="95"/>
      <c r="E136" s="168" t="e">
        <f>+C136</f>
        <v>#DIV/0!</v>
      </c>
      <c r="F136" s="145" t="e">
        <f>+F155</f>
        <v>#DIV/0!</v>
      </c>
      <c r="G136" s="4" t="s">
        <v>360</v>
      </c>
      <c r="H136" s="167"/>
      <c r="I136" s="95"/>
      <c r="J136" s="95"/>
      <c r="K136" s="95"/>
      <c r="L136" s="103"/>
    </row>
    <row r="137" spans="1:12" ht="12.75">
      <c r="A137" s="160" t="s">
        <v>317</v>
      </c>
      <c r="B137" s="145">
        <f>+F121*365</f>
        <v>0</v>
      </c>
      <c r="C137" s="168">
        <f>+B137/100*'emissziós faktorok'!C$26</f>
        <v>0</v>
      </c>
      <c r="D137" s="95"/>
      <c r="E137" s="95"/>
      <c r="F137" s="165"/>
      <c r="H137" s="167"/>
      <c r="I137" s="95"/>
      <c r="J137" s="95"/>
      <c r="K137" s="95"/>
      <c r="L137" s="103"/>
    </row>
    <row r="138" spans="1:12" ht="15.75">
      <c r="A138" s="160" t="s">
        <v>220</v>
      </c>
      <c r="B138" s="145">
        <f>+G121*365</f>
        <v>0</v>
      </c>
      <c r="C138" s="168">
        <f>+B138/100*'emissziós faktorok'!C$27</f>
        <v>0</v>
      </c>
      <c r="D138" s="95"/>
      <c r="E138" s="168">
        <f>+C138</f>
        <v>0</v>
      </c>
      <c r="F138" s="145">
        <f>+F156</f>
        <v>0</v>
      </c>
      <c r="G138" s="4" t="s">
        <v>360</v>
      </c>
      <c r="H138" s="167"/>
      <c r="I138" s="95"/>
      <c r="J138" s="95"/>
      <c r="K138" s="95"/>
      <c r="L138" s="103"/>
    </row>
    <row r="139" spans="1:12" ht="15.75">
      <c r="A139" s="160" t="s">
        <v>219</v>
      </c>
      <c r="B139" s="145">
        <f>+H121*365</f>
        <v>0</v>
      </c>
      <c r="C139" s="168">
        <f>+B139/100*'emissziós faktorok'!C$29</f>
        <v>0</v>
      </c>
      <c r="D139" s="95"/>
      <c r="E139" s="168">
        <f>+C137+C139+C140</f>
        <v>0</v>
      </c>
      <c r="F139" s="145">
        <f>+F157</f>
        <v>0</v>
      </c>
      <c r="G139" s="4" t="s">
        <v>360</v>
      </c>
      <c r="H139" s="167"/>
      <c r="I139" s="95"/>
      <c r="J139" s="95"/>
      <c r="K139" s="95"/>
      <c r="L139" s="103"/>
    </row>
    <row r="140" spans="1:12" ht="12.75">
      <c r="A140" s="126" t="s">
        <v>318</v>
      </c>
      <c r="B140" s="145">
        <f>+I121*365</f>
        <v>0</v>
      </c>
      <c r="C140" s="168">
        <f>+B140/100*'emissziós faktorok'!C$31</f>
        <v>0</v>
      </c>
      <c r="D140" s="95"/>
      <c r="F140" s="165"/>
      <c r="H140" s="167"/>
      <c r="I140" s="95"/>
      <c r="J140" s="95"/>
      <c r="K140" s="95"/>
      <c r="L140" s="103"/>
    </row>
    <row r="141" spans="1:12" ht="12.75">
      <c r="A141" s="126" t="s">
        <v>295</v>
      </c>
      <c r="B141" s="145">
        <f>+J121*365</f>
        <v>0</v>
      </c>
      <c r="C141" s="168">
        <f>+B141/100*'emissziós faktorok'!B$34</f>
        <v>0</v>
      </c>
      <c r="D141" s="95"/>
      <c r="E141" s="95"/>
      <c r="F141" s="165"/>
      <c r="H141" s="167"/>
      <c r="I141" s="95"/>
      <c r="J141" s="95"/>
      <c r="K141" s="95"/>
      <c r="L141" s="103"/>
    </row>
    <row r="142" spans="1:12" ht="12.75">
      <c r="A142" s="7"/>
      <c r="B142" s="95"/>
      <c r="C142" s="95"/>
      <c r="D142" s="95"/>
      <c r="E142" s="95"/>
      <c r="F142" s="165"/>
      <c r="H142" s="167"/>
      <c r="I142" s="95"/>
      <c r="J142" s="95"/>
      <c r="K142" s="95"/>
      <c r="L142" s="103"/>
    </row>
    <row r="143" spans="1:12" ht="15.75">
      <c r="A143" s="7" t="s">
        <v>319</v>
      </c>
      <c r="B143" s="54">
        <f>+B14</f>
        <v>0</v>
      </c>
      <c r="C143" s="168">
        <f>+B143/100*'emissziós faktorok'!C$27</f>
        <v>0</v>
      </c>
      <c r="D143" s="95"/>
      <c r="E143" s="95"/>
      <c r="F143" s="145">
        <f>+F158</f>
        <v>0</v>
      </c>
      <c r="G143" s="4" t="s">
        <v>360</v>
      </c>
      <c r="H143" s="167"/>
      <c r="I143" s="95"/>
      <c r="J143" s="95"/>
      <c r="K143" s="95"/>
      <c r="L143" s="103"/>
    </row>
    <row r="144" spans="1:12" ht="12.75">
      <c r="A144" s="7"/>
      <c r="B144" s="165"/>
      <c r="C144" s="95"/>
      <c r="D144" s="95"/>
      <c r="E144" s="95"/>
      <c r="F144" s="95"/>
      <c r="G144" s="95"/>
      <c r="H144" s="167"/>
      <c r="I144" s="95"/>
      <c r="J144" s="95"/>
      <c r="K144" s="95"/>
      <c r="L144" s="103"/>
    </row>
    <row r="145" spans="1:12" ht="12.75">
      <c r="A145" t="s">
        <v>232</v>
      </c>
      <c r="B145" s="5" t="e">
        <f>+(B77-B78)/B77</f>
        <v>#DIV/0!</v>
      </c>
      <c r="D145" s="95"/>
      <c r="E145" s="95"/>
      <c r="F145" s="95"/>
      <c r="G145" s="95"/>
      <c r="H145" s="167"/>
      <c r="I145" s="95"/>
      <c r="J145" s="95"/>
      <c r="K145" s="95"/>
      <c r="L145" s="103"/>
    </row>
    <row r="146" spans="1:12" ht="12.75">
      <c r="A146" s="7"/>
      <c r="B146" s="165"/>
      <c r="C146" s="95"/>
      <c r="D146" s="95"/>
      <c r="E146" s="95"/>
      <c r="F146" s="95"/>
      <c r="G146" s="95"/>
      <c r="H146" s="167"/>
      <c r="I146" s="95"/>
      <c r="J146" s="95"/>
      <c r="K146" s="95"/>
      <c r="L146" s="103"/>
    </row>
    <row r="147" spans="1:12" ht="12.75">
      <c r="A147" s="103"/>
      <c r="B147" s="95"/>
      <c r="C147" s="95"/>
      <c r="D147" s="95"/>
      <c r="E147" s="95"/>
      <c r="F147" s="95"/>
      <c r="G147" s="95"/>
      <c r="H147" s="171"/>
      <c r="I147" s="95"/>
      <c r="J147" s="95"/>
      <c r="K147" s="172"/>
      <c r="L147" s="103"/>
    </row>
    <row r="148" spans="1:10" ht="12.75">
      <c r="A148" s="173"/>
      <c r="B148" s="124"/>
      <c r="C148" s="174"/>
      <c r="D148" s="124"/>
      <c r="E148" s="124"/>
      <c r="F148" s="174"/>
      <c r="G148" s="124"/>
      <c r="H148" s="124"/>
      <c r="I148" s="124"/>
      <c r="J148" s="97"/>
    </row>
    <row r="149" spans="1:11" ht="15.75">
      <c r="A149" s="216"/>
      <c r="B149" s="276" t="s">
        <v>215</v>
      </c>
      <c r="C149" s="276"/>
      <c r="D149" s="276" t="s">
        <v>216</v>
      </c>
      <c r="E149" s="276"/>
      <c r="F149" s="276" t="s">
        <v>382</v>
      </c>
      <c r="G149" s="276"/>
      <c r="H149" s="276" t="s">
        <v>217</v>
      </c>
      <c r="I149" s="276"/>
      <c r="J149" s="176"/>
      <c r="K149" s="95"/>
    </row>
    <row r="150" spans="1:11" ht="12.75">
      <c r="A150" s="218"/>
      <c r="B150" s="217" t="s">
        <v>52</v>
      </c>
      <c r="C150" s="217" t="s">
        <v>53</v>
      </c>
      <c r="D150" s="217" t="s">
        <v>52</v>
      </c>
      <c r="E150" s="217" t="s">
        <v>53</v>
      </c>
      <c r="F150" s="217" t="s">
        <v>52</v>
      </c>
      <c r="G150" s="217" t="s">
        <v>53</v>
      </c>
      <c r="H150" s="217" t="s">
        <v>52</v>
      </c>
      <c r="I150" s="217" t="s">
        <v>53</v>
      </c>
      <c r="J150" s="176"/>
      <c r="K150" s="95"/>
    </row>
    <row r="151" spans="1:11" ht="15.75">
      <c r="A151" s="218"/>
      <c r="B151" s="217" t="s">
        <v>384</v>
      </c>
      <c r="C151" s="217" t="s">
        <v>384</v>
      </c>
      <c r="D151" s="217" t="s">
        <v>21</v>
      </c>
      <c r="E151" s="217" t="s">
        <v>21</v>
      </c>
      <c r="F151" s="217" t="s">
        <v>362</v>
      </c>
      <c r="G151" s="217" t="s">
        <v>362</v>
      </c>
      <c r="H151" s="217" t="s">
        <v>21</v>
      </c>
      <c r="I151" s="217" t="s">
        <v>21</v>
      </c>
      <c r="J151" s="176"/>
      <c r="K151" s="95"/>
    </row>
    <row r="152" spans="1:11" ht="12.75">
      <c r="A152" s="218" t="s">
        <v>320</v>
      </c>
      <c r="B152" s="219" t="e">
        <f>+C129</f>
        <v>#DIV/0!</v>
      </c>
      <c r="C152" s="219" t="e">
        <f>+C128</f>
        <v>#DIV/0!</v>
      </c>
      <c r="D152" s="220" t="e">
        <f>B152*I$162*(1-B$85)</f>
        <v>#DIV/0!</v>
      </c>
      <c r="E152" s="220" t="e">
        <f>C152*I$164*(1-B$84)</f>
        <v>#DIV/0!</v>
      </c>
      <c r="F152" s="220" t="e">
        <f>D152*E$162</f>
        <v>#DIV/0!</v>
      </c>
      <c r="G152" s="220" t="e">
        <f>E152*E$164</f>
        <v>#DIV/0!</v>
      </c>
      <c r="H152" s="220" t="e">
        <f>B152*I$162*(B$85)</f>
        <v>#DIV/0!</v>
      </c>
      <c r="I152" s="220" t="e">
        <f>C152*I$164*(B$84)</f>
        <v>#DIV/0!</v>
      </c>
      <c r="J152" s="176"/>
      <c r="K152" s="95"/>
    </row>
    <row r="153" spans="1:11" ht="12.75">
      <c r="A153" s="218" t="s">
        <v>321</v>
      </c>
      <c r="B153" s="219" t="e">
        <f>+C132</f>
        <v>#DIV/0!</v>
      </c>
      <c r="C153" s="219" t="e">
        <f>+C131</f>
        <v>#DIV/0!</v>
      </c>
      <c r="D153" s="220" t="e">
        <f>B153*I$162*(1-B$85)</f>
        <v>#DIV/0!</v>
      </c>
      <c r="E153" s="220" t="e">
        <f>C153*I$164*(1-B$84)</f>
        <v>#DIV/0!</v>
      </c>
      <c r="F153" s="220" t="e">
        <f>D153*E$162</f>
        <v>#DIV/0!</v>
      </c>
      <c r="G153" s="220" t="e">
        <f>E153*E$164</f>
        <v>#DIV/0!</v>
      </c>
      <c r="H153" s="220" t="e">
        <f>B153*I$162*(B$85)</f>
        <v>#DIV/0!</v>
      </c>
      <c r="I153" s="220" t="e">
        <f>C153*I$164*(B$84)</f>
        <v>#DIV/0!</v>
      </c>
      <c r="J153" s="176"/>
      <c r="K153" s="95"/>
    </row>
    <row r="154" spans="1:11" ht="12.75">
      <c r="A154" s="218" t="s">
        <v>322</v>
      </c>
      <c r="B154" s="4"/>
      <c r="C154" s="219" t="e">
        <f>+E135</f>
        <v>#DIV/0!</v>
      </c>
      <c r="D154" s="220"/>
      <c r="E154" s="220" t="e">
        <f>C154*I$164*(1-B$84)</f>
        <v>#DIV/0!</v>
      </c>
      <c r="F154" s="220"/>
      <c r="G154" s="220" t="e">
        <f>E154*E$164</f>
        <v>#DIV/0!</v>
      </c>
      <c r="H154" s="220"/>
      <c r="I154" s="220" t="e">
        <f>C154*I$164*(B$84)</f>
        <v>#DIV/0!</v>
      </c>
      <c r="J154" s="176"/>
      <c r="K154" s="95"/>
    </row>
    <row r="155" spans="1:11" ht="12.75">
      <c r="A155" s="218" t="s">
        <v>323</v>
      </c>
      <c r="B155" s="219" t="e">
        <f>+E136</f>
        <v>#DIV/0!</v>
      </c>
      <c r="C155" s="219"/>
      <c r="D155" s="220" t="e">
        <f>B155*I$162*(1-B$85)</f>
        <v>#DIV/0!</v>
      </c>
      <c r="E155" s="219"/>
      <c r="F155" s="220" t="e">
        <f>D155*E$162</f>
        <v>#DIV/0!</v>
      </c>
      <c r="G155" s="219"/>
      <c r="H155" s="220" t="e">
        <f>B155*I$162*(B$85)</f>
        <v>#DIV/0!</v>
      </c>
      <c r="I155" s="219"/>
      <c r="J155" s="176"/>
      <c r="K155" s="95"/>
    </row>
    <row r="156" spans="1:11" ht="12.75">
      <c r="A156" s="218" t="s">
        <v>324</v>
      </c>
      <c r="B156" s="219">
        <f>+E138</f>
        <v>0</v>
      </c>
      <c r="C156" s="219"/>
      <c r="D156" s="220">
        <f>B156*I$162*(1-B$85)</f>
        <v>0</v>
      </c>
      <c r="E156" s="219"/>
      <c r="F156" s="220">
        <f>D156*E$162</f>
        <v>0</v>
      </c>
      <c r="G156" s="219"/>
      <c r="H156" s="220">
        <f>B156*I$162*(B$85)</f>
        <v>0</v>
      </c>
      <c r="I156" s="219"/>
      <c r="J156" s="176"/>
      <c r="K156" s="95"/>
    </row>
    <row r="157" spans="1:11" ht="12.75">
      <c r="A157" s="218" t="s">
        <v>325</v>
      </c>
      <c r="B157" s="219">
        <f>+E139</f>
        <v>0</v>
      </c>
      <c r="C157" s="219"/>
      <c r="D157" s="220">
        <f>B157*I$162*(1-B$85)</f>
        <v>0</v>
      </c>
      <c r="E157" s="219"/>
      <c r="F157" s="220">
        <f>D157*E$162</f>
        <v>0</v>
      </c>
      <c r="G157" s="219"/>
      <c r="H157" s="220">
        <f>B157*I$162*(B$85)</f>
        <v>0</v>
      </c>
      <c r="I157" s="219"/>
      <c r="J157" s="176"/>
      <c r="K157" s="95"/>
    </row>
    <row r="158" spans="1:11" ht="12.75">
      <c r="A158" s="218" t="s">
        <v>326</v>
      </c>
      <c r="B158" s="219">
        <f>+C143</f>
        <v>0</v>
      </c>
      <c r="C158" s="220"/>
      <c r="D158" s="220">
        <f>B158*I$162*(1-B$85)</f>
        <v>0</v>
      </c>
      <c r="E158" s="220"/>
      <c r="F158" s="220">
        <f>D158*E$162</f>
        <v>0</v>
      </c>
      <c r="G158" s="220"/>
      <c r="H158" s="220">
        <f>B158*I$162*(B$85)</f>
        <v>0</v>
      </c>
      <c r="I158" s="220"/>
      <c r="J158" s="176"/>
      <c r="K158" s="95"/>
    </row>
    <row r="159" spans="2:11" ht="15">
      <c r="B159" s="177"/>
      <c r="C159" s="178"/>
      <c r="D159" s="178"/>
      <c r="E159" s="178"/>
      <c r="F159" s="178"/>
      <c r="G159" s="178"/>
      <c r="H159" s="178"/>
      <c r="I159" s="178"/>
      <c r="J159" s="176"/>
      <c r="K159" s="95"/>
    </row>
    <row r="160" spans="1:11" ht="15">
      <c r="A160" s="175"/>
      <c r="B160" s="178"/>
      <c r="C160" s="178"/>
      <c r="D160" s="178"/>
      <c r="E160" s="178"/>
      <c r="F160" s="178"/>
      <c r="G160" s="178"/>
      <c r="H160" s="178"/>
      <c r="I160" s="178"/>
      <c r="J160" s="176"/>
      <c r="K160" s="95"/>
    </row>
    <row r="161" spans="1:11" ht="12.75">
      <c r="A161" s="227" t="s">
        <v>327</v>
      </c>
      <c r="B161" s="224"/>
      <c r="C161" s="228" t="e">
        <f>SUM(D152:D160)</f>
        <v>#DIV/0!</v>
      </c>
      <c r="D161" s="224" t="s">
        <v>21</v>
      </c>
      <c r="E161" s="104" t="s">
        <v>328</v>
      </c>
      <c r="F161" s="104"/>
      <c r="G161" s="104" t="s">
        <v>289</v>
      </c>
      <c r="H161" s="104"/>
      <c r="I161" s="104" t="s">
        <v>289</v>
      </c>
      <c r="J161" s="127"/>
      <c r="K161" s="95"/>
    </row>
    <row r="162" spans="1:11" ht="15.75">
      <c r="A162" s="227" t="s">
        <v>364</v>
      </c>
      <c r="B162" s="224"/>
      <c r="C162" s="228" t="e">
        <f>SUM(F152:F160)</f>
        <v>#DIV/0!</v>
      </c>
      <c r="D162" s="224" t="s">
        <v>360</v>
      </c>
      <c r="E162" s="221">
        <f>+'emissziós faktorok'!B12</f>
        <v>0.26676</v>
      </c>
      <c r="F162" s="222" t="s">
        <v>363</v>
      </c>
      <c r="G162" s="223">
        <f>'emissziós faktorok'!F12</f>
        <v>10.96</v>
      </c>
      <c r="H162" s="224" t="s">
        <v>213</v>
      </c>
      <c r="I162" s="225">
        <f>'emissziós faktorok'!H12</f>
        <v>0.010960000000000001</v>
      </c>
      <c r="J162" s="226" t="s">
        <v>290</v>
      </c>
      <c r="K162" s="95"/>
    </row>
    <row r="163" spans="1:11" ht="12.75">
      <c r="A163" s="227" t="s">
        <v>329</v>
      </c>
      <c r="B163" s="224"/>
      <c r="C163" s="228" t="e">
        <f>SUM(E152:E160)</f>
        <v>#DIV/0!</v>
      </c>
      <c r="D163" s="224" t="s">
        <v>21</v>
      </c>
      <c r="E163" s="105"/>
      <c r="F163" s="222"/>
      <c r="G163" s="224"/>
      <c r="H163" s="224"/>
      <c r="I163" s="224"/>
      <c r="J163" s="179"/>
      <c r="K163" s="95"/>
    </row>
    <row r="164" spans="1:11" ht="15.75">
      <c r="A164" s="227" t="s">
        <v>364</v>
      </c>
      <c r="B164" s="224"/>
      <c r="C164" s="228" t="e">
        <f>SUM(G152:G160)</f>
        <v>#DIV/0!</v>
      </c>
      <c r="D164" s="224" t="s">
        <v>360</v>
      </c>
      <c r="E164" s="221">
        <f>+'emissziós faktorok'!B13</f>
        <v>0.24948</v>
      </c>
      <c r="F164" s="222" t="s">
        <v>363</v>
      </c>
      <c r="G164" s="223">
        <f>'emissziós faktorok'!F13</f>
        <v>9.61</v>
      </c>
      <c r="H164" s="224" t="s">
        <v>213</v>
      </c>
      <c r="I164" s="225">
        <f>'emissziós faktorok'!H13</f>
        <v>0.009609999999999999</v>
      </c>
      <c r="J164" s="226" t="s">
        <v>290</v>
      </c>
      <c r="K164" s="95"/>
    </row>
    <row r="165" spans="1:11" ht="15">
      <c r="A165" s="180"/>
      <c r="B165" s="181"/>
      <c r="C165" s="181"/>
      <c r="D165" s="181"/>
      <c r="E165" s="181"/>
      <c r="F165" s="181"/>
      <c r="G165" s="181"/>
      <c r="H165" s="181"/>
      <c r="I165" s="181"/>
      <c r="J165" s="182"/>
      <c r="K165" s="95"/>
    </row>
    <row r="166" ht="15">
      <c r="K166" s="183"/>
    </row>
    <row r="168" spans="12:14" ht="12.75">
      <c r="L168" s="98"/>
      <c r="M168" s="98"/>
      <c r="N168" s="98"/>
    </row>
    <row r="169" spans="12:14" ht="12.75">
      <c r="L169" s="98"/>
      <c r="M169" s="141"/>
      <c r="N169" s="98"/>
    </row>
    <row r="170" spans="12:14" ht="12.75">
      <c r="L170" s="98"/>
      <c r="M170" s="98"/>
      <c r="N170" s="98"/>
    </row>
    <row r="171" spans="12:14" ht="12.75">
      <c r="L171" s="98"/>
      <c r="M171" s="98"/>
      <c r="N171" s="98"/>
    </row>
  </sheetData>
  <sheetProtection password="FA7E" sheet="1" formatColumns="0" formatRows="0"/>
  <protectedRanges>
    <protectedRange sqref="A31:N60 B19:B20 B10:B14 B62:AF62 B77 B80:B81 B84:B85 AF47:AG47 AH64:AP65 B65:AE65 B64:AF64 M78:M121 AG65" name="Tartom?ny1"/>
    <protectedRange sqref="B78" name="Tartom?ny1_1"/>
  </protectedRanges>
  <mergeCells count="8">
    <mergeCell ref="F149:G149"/>
    <mergeCell ref="H149:I149"/>
    <mergeCell ref="A22:A23"/>
    <mergeCell ref="A4:A6"/>
    <mergeCell ref="A16:A17"/>
    <mergeCell ref="B149:C149"/>
    <mergeCell ref="D149:E149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5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8515625" style="0" customWidth="1"/>
    <col min="2" max="2" width="14.421875" style="0" customWidth="1"/>
    <col min="3" max="3" width="9.57421875" style="0" customWidth="1"/>
    <col min="4" max="4" width="10.140625" style="0" customWidth="1"/>
    <col min="5" max="5" width="19.8515625" style="0" customWidth="1"/>
    <col min="6" max="6" width="13.28125" style="0" customWidth="1"/>
    <col min="7" max="7" width="8.00390625" style="0" customWidth="1"/>
    <col min="8" max="8" width="15.140625" style="0" customWidth="1"/>
    <col min="9" max="9" width="14.7109375" style="0" customWidth="1"/>
    <col min="11" max="11" width="6.57421875" style="0" customWidth="1"/>
    <col min="12" max="12" width="12.421875" style="0" customWidth="1"/>
    <col min="13" max="13" width="15.00390625" style="0" customWidth="1"/>
  </cols>
  <sheetData>
    <row r="1" spans="1:13" s="10" customFormat="1" ht="28.5" customHeight="1" thickBot="1">
      <c r="A1" s="61" t="s">
        <v>81</v>
      </c>
      <c r="D1" s="62"/>
      <c r="E1" s="62"/>
      <c r="F1" s="63"/>
      <c r="H1" s="280" t="s">
        <v>73</v>
      </c>
      <c r="I1" s="66"/>
      <c r="J1" s="66"/>
      <c r="L1" s="282" t="s">
        <v>332</v>
      </c>
      <c r="M1" s="61" t="s">
        <v>109</v>
      </c>
    </row>
    <row r="2" spans="4:14" s="203" customFormat="1" ht="12.75" customHeight="1" thickBot="1">
      <c r="D2" s="205" t="s">
        <v>72</v>
      </c>
      <c r="E2" s="65">
        <f>E5+E17</f>
        <v>0</v>
      </c>
      <c r="F2" s="205" t="s">
        <v>387</v>
      </c>
      <c r="H2" s="281"/>
      <c r="I2" s="67" t="e">
        <f>I17+I36</f>
        <v>#DIV/0!</v>
      </c>
      <c r="J2" s="206" t="s">
        <v>387</v>
      </c>
      <c r="L2" s="283"/>
      <c r="M2" s="64" t="e">
        <f>M5+M17+M36</f>
        <v>#DIV/0!</v>
      </c>
      <c r="N2" s="204" t="s">
        <v>390</v>
      </c>
    </row>
    <row r="4" spans="1:15" s="10" customFormat="1" ht="28.5" customHeight="1" thickBot="1">
      <c r="A4" s="61" t="s">
        <v>280</v>
      </c>
      <c r="D4" s="62"/>
      <c r="E4" s="62"/>
      <c r="F4" s="63"/>
      <c r="M4" s="61" t="s">
        <v>35</v>
      </c>
      <c r="O4" s="61"/>
    </row>
    <row r="5" spans="4:14" s="10" customFormat="1" ht="15" thickBot="1">
      <c r="D5" s="63" t="s">
        <v>72</v>
      </c>
      <c r="E5" s="65">
        <f>E10+E14</f>
        <v>0</v>
      </c>
      <c r="F5" s="205" t="s">
        <v>387</v>
      </c>
      <c r="M5" s="64">
        <f>E5</f>
        <v>0</v>
      </c>
      <c r="N5" s="204" t="s">
        <v>390</v>
      </c>
    </row>
    <row r="6" spans="1:13" s="57" customFormat="1" ht="12.75">
      <c r="A6" s="110" t="s">
        <v>135</v>
      </c>
      <c r="D6" s="58"/>
      <c r="F6" s="58"/>
      <c r="L6" s="59"/>
      <c r="M6" s="58"/>
    </row>
    <row r="7" spans="1:13" s="57" customFormat="1" ht="12.75">
      <c r="A7" s="111" t="s">
        <v>136</v>
      </c>
      <c r="D7" s="58"/>
      <c r="E7" s="111"/>
      <c r="F7" s="58"/>
      <c r="L7" s="59"/>
      <c r="M7" s="58"/>
    </row>
    <row r="9" spans="1:2" ht="13.5" thickBot="1">
      <c r="A9" s="4" t="s">
        <v>26</v>
      </c>
      <c r="B9" s="25"/>
    </row>
    <row r="10" spans="1:6" ht="16.5" thickBot="1">
      <c r="A10" s="4" t="s">
        <v>137</v>
      </c>
      <c r="B10" s="25"/>
      <c r="C10" s="4" t="s">
        <v>91</v>
      </c>
      <c r="E10" s="53">
        <f>E11+E12</f>
        <v>0</v>
      </c>
      <c r="F10" s="4" t="s">
        <v>391</v>
      </c>
    </row>
    <row r="11" spans="1:6" ht="16.5" thickBot="1">
      <c r="A11" s="4" t="s">
        <v>351</v>
      </c>
      <c r="B11" s="25"/>
      <c r="C11" s="4" t="s">
        <v>91</v>
      </c>
      <c r="E11" s="53">
        <f>B11*'emissziós faktorok'!D40</f>
        <v>0</v>
      </c>
      <c r="F11" s="4" t="s">
        <v>391</v>
      </c>
    </row>
    <row r="12" spans="1:6" ht="16.5" thickBot="1">
      <c r="A12" s="4" t="s">
        <v>92</v>
      </c>
      <c r="B12" s="54">
        <f>B10-B11</f>
        <v>0</v>
      </c>
      <c r="C12" s="4" t="s">
        <v>91</v>
      </c>
      <c r="E12" s="53">
        <f>B12*'emissziós faktorok'!D41</f>
        <v>0</v>
      </c>
      <c r="F12" s="4" t="s">
        <v>391</v>
      </c>
    </row>
    <row r="13" ht="13.5" thickBot="1"/>
    <row r="14" spans="1:6" ht="16.5" thickBot="1">
      <c r="A14" s="105" t="s">
        <v>405</v>
      </c>
      <c r="B14" s="252"/>
      <c r="C14" s="105" t="s">
        <v>91</v>
      </c>
      <c r="E14" s="53">
        <f>B14*'emissziós faktorok'!D42</f>
        <v>0</v>
      </c>
      <c r="F14" s="4" t="s">
        <v>391</v>
      </c>
    </row>
    <row r="15" ht="9.75" customHeight="1"/>
    <row r="16" spans="1:13" s="10" customFormat="1" ht="29.25" customHeight="1" thickBot="1">
      <c r="A16" s="61" t="s">
        <v>281</v>
      </c>
      <c r="D16" s="62"/>
      <c r="E16" s="62"/>
      <c r="F16" s="63"/>
      <c r="H16" s="275" t="s">
        <v>73</v>
      </c>
      <c r="I16" s="66"/>
      <c r="J16" s="66"/>
      <c r="M16" s="61" t="s">
        <v>35</v>
      </c>
    </row>
    <row r="17" spans="1:14" s="10" customFormat="1" ht="12.75" customHeight="1" thickBot="1">
      <c r="A17" s="61"/>
      <c r="D17" s="63" t="s">
        <v>72</v>
      </c>
      <c r="E17" s="65">
        <f>E22+E26+E32</f>
        <v>0</v>
      </c>
      <c r="F17" s="205" t="s">
        <v>387</v>
      </c>
      <c r="H17" s="275"/>
      <c r="I17" s="67">
        <f>I22+I26+I32</f>
        <v>0</v>
      </c>
      <c r="J17" s="206" t="s">
        <v>387</v>
      </c>
      <c r="M17" s="64">
        <f>E17+I17</f>
        <v>0</v>
      </c>
      <c r="N17" s="204" t="s">
        <v>390</v>
      </c>
    </row>
    <row r="18" spans="1:13" s="57" customFormat="1" ht="12.75">
      <c r="A18" s="110" t="s">
        <v>135</v>
      </c>
      <c r="D18" s="58"/>
      <c r="F18" s="58"/>
      <c r="L18" s="59"/>
      <c r="M18" s="58"/>
    </row>
    <row r="19" spans="1:13" s="57" customFormat="1" ht="12.75">
      <c r="A19" s="111" t="s">
        <v>136</v>
      </c>
      <c r="D19" s="58"/>
      <c r="E19" s="111"/>
      <c r="F19" s="58"/>
      <c r="L19" s="59"/>
      <c r="M19" s="58"/>
    </row>
    <row r="21" spans="1:2" ht="13.5" thickBot="1">
      <c r="A21" s="4" t="s">
        <v>26</v>
      </c>
      <c r="B21" s="54">
        <f>B9</f>
        <v>0</v>
      </c>
    </row>
    <row r="22" spans="1:10" ht="16.5" thickBot="1">
      <c r="A22" s="4" t="s">
        <v>137</v>
      </c>
      <c r="B22" s="54">
        <f>B10</f>
        <v>0</v>
      </c>
      <c r="C22" s="4" t="s">
        <v>91</v>
      </c>
      <c r="E22" s="53">
        <f>E23+E24</f>
        <v>0</v>
      </c>
      <c r="F22" s="4" t="s">
        <v>391</v>
      </c>
      <c r="I22" s="56">
        <f>I23+I24</f>
        <v>0</v>
      </c>
      <c r="J22" s="4" t="s">
        <v>391</v>
      </c>
    </row>
    <row r="23" spans="1:10" ht="16.5" thickBot="1">
      <c r="A23" s="4" t="s">
        <v>351</v>
      </c>
      <c r="B23" s="54">
        <f>B11</f>
        <v>0</v>
      </c>
      <c r="C23" s="4" t="s">
        <v>91</v>
      </c>
      <c r="E23" s="53">
        <f>B23*'emissziós faktorok'!D43</f>
        <v>0</v>
      </c>
      <c r="F23" s="4" t="s">
        <v>391</v>
      </c>
      <c r="I23" s="53">
        <f>B23*'emissziós faktorok'!H43</f>
        <v>0</v>
      </c>
      <c r="J23" s="4" t="s">
        <v>391</v>
      </c>
    </row>
    <row r="24" spans="1:10" ht="16.5" thickBot="1">
      <c r="A24" s="4" t="s">
        <v>92</v>
      </c>
      <c r="B24" s="54">
        <f>B12</f>
        <v>0</v>
      </c>
      <c r="C24" s="4" t="s">
        <v>91</v>
      </c>
      <c r="E24" s="53">
        <f>B24*'emissziós faktorok'!D44</f>
        <v>0</v>
      </c>
      <c r="F24" s="4" t="s">
        <v>391</v>
      </c>
      <c r="I24" s="53">
        <f>B24*'emissziós faktorok'!H45</f>
        <v>0</v>
      </c>
      <c r="J24" s="4" t="s">
        <v>391</v>
      </c>
    </row>
    <row r="25" ht="13.5" thickBot="1"/>
    <row r="26" spans="1:10" ht="16.5" thickBot="1">
      <c r="A26" s="4" t="s">
        <v>93</v>
      </c>
      <c r="B26" s="25"/>
      <c r="C26" s="4" t="s">
        <v>91</v>
      </c>
      <c r="E26" s="53">
        <f>B26*'emissziós faktorok'!D45</f>
        <v>0</v>
      </c>
      <c r="F26" s="4" t="s">
        <v>391</v>
      </c>
      <c r="I26" s="53">
        <f>B26*'emissziós faktorok'!H45</f>
        <v>0</v>
      </c>
      <c r="J26" s="4" t="s">
        <v>391</v>
      </c>
    </row>
    <row r="28" spans="1:3" ht="12.75">
      <c r="A28" s="4" t="s">
        <v>284</v>
      </c>
      <c r="B28" s="28"/>
      <c r="C28" s="4" t="s">
        <v>91</v>
      </c>
    </row>
    <row r="29" spans="1:10" ht="12.75">
      <c r="A29" s="4" t="s">
        <v>285</v>
      </c>
      <c r="B29" s="28"/>
      <c r="C29" s="4" t="s">
        <v>91</v>
      </c>
      <c r="E29" s="141"/>
      <c r="F29" s="4"/>
      <c r="I29" s="141"/>
      <c r="J29" s="4"/>
    </row>
    <row r="30" spans="1:10" ht="12.75">
      <c r="A30" s="4" t="s">
        <v>286</v>
      </c>
      <c r="B30" s="28"/>
      <c r="C30" s="4" t="s">
        <v>91</v>
      </c>
      <c r="E30" s="141"/>
      <c r="F30" s="4"/>
      <c r="I30" s="141"/>
      <c r="J30" s="4"/>
    </row>
    <row r="31" spans="1:10" ht="13.5" thickBot="1">
      <c r="A31" s="4" t="s">
        <v>287</v>
      </c>
      <c r="B31" s="28"/>
      <c r="C31" s="4" t="s">
        <v>91</v>
      </c>
      <c r="E31" s="141"/>
      <c r="F31" s="4"/>
      <c r="I31" s="141"/>
      <c r="J31" s="4"/>
    </row>
    <row r="32" spans="1:10" ht="16.5" thickBot="1">
      <c r="A32" s="4" t="s">
        <v>288</v>
      </c>
      <c r="B32" s="117">
        <f>B28+B29+B30+B31</f>
        <v>0</v>
      </c>
      <c r="E32" s="157">
        <f>B32*'emissziós faktorok'!D46</f>
        <v>0</v>
      </c>
      <c r="F32" s="4" t="s">
        <v>391</v>
      </c>
      <c r="I32" s="157">
        <f>B32*'emissziós faktorok'!H46</f>
        <v>0</v>
      </c>
      <c r="J32" s="4" t="s">
        <v>391</v>
      </c>
    </row>
    <row r="35" spans="1:13" s="10" customFormat="1" ht="29.25" customHeight="1" thickBot="1">
      <c r="A35" s="61" t="s">
        <v>282</v>
      </c>
      <c r="H35" s="275" t="s">
        <v>73</v>
      </c>
      <c r="I35" s="66"/>
      <c r="J35" s="66"/>
      <c r="M35" s="61" t="s">
        <v>35</v>
      </c>
    </row>
    <row r="36" spans="1:14" s="10" customFormat="1" ht="12.75" customHeight="1" thickBot="1">
      <c r="A36" s="61"/>
      <c r="H36" s="275"/>
      <c r="I36" s="67" t="e">
        <f>F50*'emissziós faktorok'!H47</f>
        <v>#DIV/0!</v>
      </c>
      <c r="J36" s="206" t="s">
        <v>387</v>
      </c>
      <c r="M36" s="64" t="e">
        <f>I36</f>
        <v>#DIV/0!</v>
      </c>
      <c r="N36" s="204" t="s">
        <v>390</v>
      </c>
    </row>
    <row r="37" spans="1:14" s="57" customFormat="1" ht="12.75" customHeight="1">
      <c r="A37" s="239" t="s">
        <v>404</v>
      </c>
      <c r="H37" s="249"/>
      <c r="I37" s="59"/>
      <c r="J37" s="250"/>
      <c r="M37" s="59"/>
      <c r="N37" s="250"/>
    </row>
    <row r="38" spans="1:13" s="236" customFormat="1" ht="12.75" customHeight="1">
      <c r="A38" s="247" t="s">
        <v>400</v>
      </c>
      <c r="H38" s="237"/>
      <c r="I38" s="238"/>
      <c r="J38" s="239"/>
      <c r="L38" s="238"/>
      <c r="M38" s="239"/>
    </row>
    <row r="39" spans="1:13" s="236" customFormat="1" ht="12.75" customHeight="1">
      <c r="A39" s="235" t="s">
        <v>401</v>
      </c>
      <c r="H39" s="237"/>
      <c r="I39" s="238"/>
      <c r="J39" s="239"/>
      <c r="L39" s="238"/>
      <c r="M39" s="239"/>
    </row>
    <row r="40" spans="1:13" s="236" customFormat="1" ht="12.75" customHeight="1">
      <c r="A40" s="248" t="s">
        <v>402</v>
      </c>
      <c r="H40" s="237"/>
      <c r="I40" s="238"/>
      <c r="J40" s="239"/>
      <c r="L40" s="238"/>
      <c r="M40" s="239"/>
    </row>
    <row r="41" ht="12.75">
      <c r="A41" s="236" t="s">
        <v>403</v>
      </c>
    </row>
    <row r="42" spans="1:13" s="236" customFormat="1" ht="12.75" customHeight="1">
      <c r="A42" s="251" t="s">
        <v>144</v>
      </c>
      <c r="H42" s="237"/>
      <c r="I42" s="238"/>
      <c r="J42" s="239"/>
      <c r="L42" s="238"/>
      <c r="M42" s="239"/>
    </row>
    <row r="43" spans="1:13" s="236" customFormat="1" ht="12.75" customHeight="1">
      <c r="A43" s="241" t="s">
        <v>110</v>
      </c>
      <c r="H43" s="237"/>
      <c r="I43" s="238"/>
      <c r="J43" s="239"/>
      <c r="L43" s="238"/>
      <c r="M43" s="239"/>
    </row>
    <row r="44" spans="1:13" s="236" customFormat="1" ht="12.75" customHeight="1">
      <c r="A44" s="251" t="s">
        <v>145</v>
      </c>
      <c r="H44" s="237"/>
      <c r="I44" s="238"/>
      <c r="J44" s="239"/>
      <c r="L44" s="238"/>
      <c r="M44" s="239"/>
    </row>
    <row r="45" spans="1:13" s="236" customFormat="1" ht="12.75" customHeight="1">
      <c r="A45" s="241" t="s">
        <v>146</v>
      </c>
      <c r="H45" s="237"/>
      <c r="I45" s="238"/>
      <c r="J45" s="239"/>
      <c r="L45" s="238"/>
      <c r="M45" s="239"/>
    </row>
    <row r="46" spans="1:4" ht="12.75">
      <c r="A46" s="4"/>
      <c r="D46" s="116"/>
    </row>
    <row r="47" spans="1:7" ht="48.75" customHeight="1">
      <c r="A47" s="4" t="s">
        <v>26</v>
      </c>
      <c r="B47" s="25"/>
      <c r="E47" s="6" t="s">
        <v>112</v>
      </c>
      <c r="F47" s="28"/>
      <c r="G47" s="4" t="s">
        <v>113</v>
      </c>
    </row>
    <row r="48" spans="1:7" ht="53.25" customHeight="1">
      <c r="A48" s="6" t="s">
        <v>353</v>
      </c>
      <c r="B48" s="115"/>
      <c r="C48" s="4" t="s">
        <v>117</v>
      </c>
      <c r="D48" s="119"/>
      <c r="E48" s="6" t="s">
        <v>114</v>
      </c>
      <c r="F48" s="28"/>
      <c r="G48" s="4" t="s">
        <v>113</v>
      </c>
    </row>
    <row r="49" spans="1:7" ht="28.5" customHeight="1">
      <c r="A49" s="6" t="s">
        <v>354</v>
      </c>
      <c r="B49" s="25"/>
      <c r="C49" s="4" t="s">
        <v>117</v>
      </c>
      <c r="D49" s="119"/>
      <c r="E49" s="6" t="s">
        <v>115</v>
      </c>
      <c r="F49" s="68">
        <f>(F47+F48)/10000000</f>
        <v>0</v>
      </c>
      <c r="G49" s="69" t="s">
        <v>111</v>
      </c>
    </row>
    <row r="50" spans="1:7" ht="25.5">
      <c r="A50" s="6" t="s">
        <v>355</v>
      </c>
      <c r="B50" s="117">
        <f>B48+B49</f>
        <v>0</v>
      </c>
      <c r="C50" s="4" t="s">
        <v>117</v>
      </c>
      <c r="D50" s="119"/>
      <c r="E50" s="6" t="s">
        <v>116</v>
      </c>
      <c r="F50" s="70" t="e">
        <f>F49/B51*B50</f>
        <v>#DIV/0!</v>
      </c>
      <c r="G50" s="4" t="s">
        <v>117</v>
      </c>
    </row>
    <row r="51" spans="1:4" ht="12.75">
      <c r="A51" s="4" t="s">
        <v>143</v>
      </c>
      <c r="B51" s="25"/>
      <c r="C51" s="4" t="s">
        <v>111</v>
      </c>
      <c r="D51" s="119"/>
    </row>
    <row r="52" ht="12.75">
      <c r="C52" s="4"/>
    </row>
    <row r="53" spans="3:4" ht="12.75">
      <c r="C53" s="4"/>
      <c r="D53" s="118"/>
    </row>
  </sheetData>
  <sheetProtection password="FA7E" sheet="1" formatColumns="0" formatRows="0"/>
  <protectedRanges>
    <protectedRange sqref="B9:B11 A7 A19 B26 B28:B31 B51 F47:F48 B47:B49" name="Tartom?ny1"/>
    <protectedRange sqref="A43 A45 A38 A40:A41" name="Tartom?ny1_2"/>
  </protectedRanges>
  <mergeCells count="4">
    <mergeCell ref="H16:H17"/>
    <mergeCell ref="H35:H36"/>
    <mergeCell ref="H1:H2"/>
    <mergeCell ref="L1:L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P2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21.00390625" style="0" customWidth="1"/>
    <col min="2" max="2" width="17.57421875" style="0" customWidth="1"/>
    <col min="5" max="5" width="9.57421875" style="0" bestFit="1" customWidth="1"/>
    <col min="8" max="8" width="12.57421875" style="0" customWidth="1"/>
    <col min="9" max="9" width="9.57421875" style="0" bestFit="1" customWidth="1"/>
  </cols>
  <sheetData>
    <row r="1" spans="1:12" s="10" customFormat="1" ht="28.5" customHeight="1" thickBot="1">
      <c r="A1" s="61" t="s">
        <v>154</v>
      </c>
      <c r="D1" s="62"/>
      <c r="E1" s="63"/>
      <c r="F1" s="62"/>
      <c r="H1" s="280" t="s">
        <v>73</v>
      </c>
      <c r="I1" s="66"/>
      <c r="J1" s="66"/>
      <c r="L1" s="61" t="s">
        <v>35</v>
      </c>
    </row>
    <row r="2" spans="4:13" s="203" customFormat="1" ht="15" thickBot="1">
      <c r="D2" s="205" t="s">
        <v>72</v>
      </c>
      <c r="E2" s="65">
        <f>E5+E14</f>
        <v>0</v>
      </c>
      <c r="F2" s="205" t="s">
        <v>387</v>
      </c>
      <c r="H2" s="281"/>
      <c r="I2" s="67">
        <f>I14</f>
        <v>0</v>
      </c>
      <c r="J2" s="206" t="s">
        <v>387</v>
      </c>
      <c r="L2" s="64">
        <f>E2+I2</f>
        <v>0</v>
      </c>
      <c r="M2" s="204" t="s">
        <v>387</v>
      </c>
    </row>
    <row r="3" ht="12.75">
      <c r="A3" s="24"/>
    </row>
    <row r="4" spans="1:6" s="10" customFormat="1" ht="29.25" customHeight="1" thickBot="1">
      <c r="A4" s="274" t="s">
        <v>155</v>
      </c>
      <c r="B4" s="102"/>
      <c r="C4" s="61"/>
      <c r="D4" s="62"/>
      <c r="E4" s="63"/>
      <c r="F4" s="62"/>
    </row>
    <row r="5" spans="1:6" s="10" customFormat="1" ht="12.75" customHeight="1" thickBot="1">
      <c r="A5" s="274"/>
      <c r="B5" s="102"/>
      <c r="C5" s="61"/>
      <c r="D5" s="63" t="s">
        <v>72</v>
      </c>
      <c r="E5" s="73">
        <f>B10*'emissziós faktorok'!H52</f>
        <v>0</v>
      </c>
      <c r="F5" s="205" t="s">
        <v>387</v>
      </c>
    </row>
    <row r="6" ht="12.75">
      <c r="A6" s="24" t="s">
        <v>206</v>
      </c>
    </row>
    <row r="7" ht="12.75">
      <c r="A7" s="153" t="s">
        <v>207</v>
      </c>
    </row>
    <row r="9" spans="1:2" ht="12.75">
      <c r="A9" s="4" t="s">
        <v>26</v>
      </c>
      <c r="B9" s="25"/>
    </row>
    <row r="10" spans="1:3" ht="51">
      <c r="A10" s="6" t="s">
        <v>208</v>
      </c>
      <c r="B10" s="25"/>
      <c r="C10" t="s">
        <v>117</v>
      </c>
    </row>
    <row r="13" spans="1:10" s="10" customFormat="1" ht="29.25" customHeight="1" thickBot="1">
      <c r="A13" s="274" t="s">
        <v>156</v>
      </c>
      <c r="B13" s="102"/>
      <c r="C13" s="61"/>
      <c r="D13" s="62"/>
      <c r="E13" s="62"/>
      <c r="F13" s="63"/>
      <c r="H13" s="275" t="s">
        <v>73</v>
      </c>
      <c r="I13" s="66"/>
      <c r="J13" s="66"/>
    </row>
    <row r="14" spans="1:16" s="10" customFormat="1" ht="12.75" customHeight="1" thickBot="1">
      <c r="A14" s="274"/>
      <c r="B14" s="102"/>
      <c r="C14" s="61"/>
      <c r="D14" s="63" t="s">
        <v>72</v>
      </c>
      <c r="E14" s="65">
        <f>E21</f>
        <v>0</v>
      </c>
      <c r="F14" s="205" t="s">
        <v>387</v>
      </c>
      <c r="H14" s="275"/>
      <c r="I14" s="67">
        <f>I21</f>
        <v>0</v>
      </c>
      <c r="J14" s="206" t="s">
        <v>387</v>
      </c>
      <c r="P14" s="61"/>
    </row>
    <row r="16" spans="1:4" ht="12.75">
      <c r="A16" s="21" t="s">
        <v>148</v>
      </c>
      <c r="D16" s="96"/>
    </row>
    <row r="17" spans="1:4" ht="12.75">
      <c r="A17" s="4" t="s">
        <v>26</v>
      </c>
      <c r="B17" s="25"/>
      <c r="D17" s="96"/>
    </row>
    <row r="18" spans="1:12" ht="15.75">
      <c r="A18" s="4" t="s">
        <v>149</v>
      </c>
      <c r="E18" s="122">
        <v>376437.783193981</v>
      </c>
      <c r="F18" s="4" t="s">
        <v>392</v>
      </c>
      <c r="I18" s="122">
        <v>224388.616741285</v>
      </c>
      <c r="J18" s="4" t="s">
        <v>392</v>
      </c>
      <c r="L18" s="4" t="s">
        <v>344</v>
      </c>
    </row>
    <row r="19" spans="1:12" ht="12.75">
      <c r="A19" s="4" t="s">
        <v>150</v>
      </c>
      <c r="B19" s="121">
        <v>9877000</v>
      </c>
      <c r="C19" s="4" t="s">
        <v>151</v>
      </c>
      <c r="L19" s="4" t="s">
        <v>344</v>
      </c>
    </row>
    <row r="20" spans="1:3" ht="13.5" thickBot="1">
      <c r="A20" s="4" t="s">
        <v>152</v>
      </c>
      <c r="B20" s="25"/>
      <c r="C20" s="4" t="s">
        <v>151</v>
      </c>
    </row>
    <row r="21" spans="1:10" ht="16.5" thickBot="1">
      <c r="A21" s="4" t="s">
        <v>153</v>
      </c>
      <c r="E21" s="53">
        <f>B20/B19*E18</f>
        <v>0</v>
      </c>
      <c r="F21" s="4" t="s">
        <v>392</v>
      </c>
      <c r="I21" s="53">
        <f>B20/B19*I18</f>
        <v>0</v>
      </c>
      <c r="J21" s="4" t="s">
        <v>392</v>
      </c>
    </row>
  </sheetData>
  <sheetProtection password="FA7E" sheet="1" formatColumns="0" formatRows="0"/>
  <protectedRanges>
    <protectedRange sqref="A7 B9:B10 B17 B19:B20 E18 L18:L1918 I18" name="Tartom?ny1"/>
  </protectedRanges>
  <mergeCells count="4">
    <mergeCell ref="H1:H2"/>
    <mergeCell ref="A4:A5"/>
    <mergeCell ref="A13:A14"/>
    <mergeCell ref="H13:H14"/>
  </mergeCells>
  <hyperlinks>
    <hyperlink ref="A7" r:id="rId1" display="http://statinfo.ksh.hu/Statinfo/themeSelector.jsp?page=2&amp;szst=UR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P21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24.7109375" style="0" customWidth="1"/>
    <col min="3" max="3" width="13.421875" style="0" customWidth="1"/>
  </cols>
  <sheetData>
    <row r="1" spans="1:7" s="10" customFormat="1" ht="28.5" customHeight="1" thickBot="1">
      <c r="A1" s="61" t="s">
        <v>210</v>
      </c>
      <c r="G1" s="61"/>
    </row>
    <row r="2" spans="3:5" s="203" customFormat="1" ht="15" thickBot="1">
      <c r="C2" s="204" t="s">
        <v>71</v>
      </c>
      <c r="D2" s="146">
        <f>D5+D16</f>
        <v>0</v>
      </c>
      <c r="E2" s="204" t="s">
        <v>359</v>
      </c>
    </row>
    <row r="4" spans="1:15" s="10" customFormat="1" ht="23.25" customHeight="1" thickBot="1">
      <c r="A4" s="274" t="s">
        <v>209</v>
      </c>
      <c r="B4" s="102"/>
      <c r="C4" s="61"/>
      <c r="O4" s="61"/>
    </row>
    <row r="5" spans="1:16" s="10" customFormat="1" ht="12.75" customHeight="1" thickBot="1">
      <c r="A5" s="274"/>
      <c r="B5" s="102"/>
      <c r="C5" s="61" t="s">
        <v>71</v>
      </c>
      <c r="D5" s="64">
        <f>B10</f>
        <v>0</v>
      </c>
      <c r="E5" s="204" t="s">
        <v>359</v>
      </c>
      <c r="P5" s="61"/>
    </row>
    <row r="6" ht="12.75">
      <c r="A6" s="24" t="s">
        <v>247</v>
      </c>
    </row>
    <row r="7" ht="12.75">
      <c r="A7" s="24"/>
    </row>
    <row r="8" spans="1:5" ht="12.75">
      <c r="A8" s="4" t="s">
        <v>26</v>
      </c>
      <c r="B8" s="25"/>
      <c r="E8" s="95"/>
    </row>
    <row r="9" spans="1:4" ht="12.75">
      <c r="A9" s="4" t="s">
        <v>211</v>
      </c>
      <c r="B9" s="25"/>
      <c r="C9" s="4" t="s">
        <v>142</v>
      </c>
      <c r="D9" s="105"/>
    </row>
    <row r="10" spans="1:4" ht="15.75">
      <c r="A10" s="152" t="s">
        <v>393</v>
      </c>
      <c r="B10" s="148">
        <f>B9*'emissziós faktorok'!B57</f>
        <v>0</v>
      </c>
      <c r="C10" s="4" t="s">
        <v>360</v>
      </c>
      <c r="D10" s="105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spans="1:15" s="10" customFormat="1" ht="24" customHeight="1" thickBot="1">
      <c r="A15" s="274" t="s">
        <v>356</v>
      </c>
      <c r="B15" s="102"/>
      <c r="C15" s="61"/>
      <c r="O15" s="61"/>
    </row>
    <row r="16" spans="1:16" s="10" customFormat="1" ht="12.75" customHeight="1" thickBot="1">
      <c r="A16" s="274"/>
      <c r="B16" s="102"/>
      <c r="C16" s="61" t="s">
        <v>71</v>
      </c>
      <c r="D16" s="64">
        <f>B21</f>
        <v>0</v>
      </c>
      <c r="E16" s="204" t="s">
        <v>359</v>
      </c>
      <c r="P16" s="61"/>
    </row>
    <row r="17" ht="12.75">
      <c r="A17" s="24" t="s">
        <v>247</v>
      </c>
    </row>
    <row r="18" ht="12.75">
      <c r="A18" s="24"/>
    </row>
    <row r="19" spans="1:5" ht="12.75">
      <c r="A19" s="4" t="s">
        <v>26</v>
      </c>
      <c r="B19" s="25"/>
      <c r="E19" s="95"/>
    </row>
    <row r="20" spans="1:4" ht="12.75">
      <c r="A20" s="4" t="s">
        <v>357</v>
      </c>
      <c r="B20" s="25"/>
      <c r="C20" s="4" t="s">
        <v>142</v>
      </c>
      <c r="D20" s="105"/>
    </row>
    <row r="21" spans="1:5" ht="15.75">
      <c r="A21" s="152" t="s">
        <v>394</v>
      </c>
      <c r="B21" s="148">
        <f>B20*'emissziós faktorok'!B58</f>
        <v>0</v>
      </c>
      <c r="C21" s="4" t="s">
        <v>31</v>
      </c>
      <c r="E21" s="105"/>
    </row>
  </sheetData>
  <sheetProtection password="FA7E" sheet="1" formatColumns="0" formatRows="0"/>
  <protectedRanges>
    <protectedRange sqref="A6 B8:B9 A17 B19:B20" name="Tartom?ny1"/>
  </protectedRanges>
  <mergeCells count="2">
    <mergeCell ref="A4:A5"/>
    <mergeCell ref="A15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BV154"/>
  <sheetViews>
    <sheetView zoomScalePageLayoutView="0" workbookViewId="0" topLeftCell="A16">
      <selection activeCell="G33" sqref="G33"/>
    </sheetView>
  </sheetViews>
  <sheetFormatPr defaultColWidth="9.140625" defaultRowHeight="12.75"/>
  <cols>
    <col min="1" max="1" width="9.140625" style="31" customWidth="1"/>
    <col min="2" max="2" width="2.421875" style="31" customWidth="1"/>
    <col min="3" max="3" width="32.140625" style="31" customWidth="1"/>
    <col min="4" max="6" width="21.7109375" style="31" customWidth="1"/>
    <col min="7" max="7" width="17.7109375" style="31" customWidth="1"/>
    <col min="8" max="16384" width="9.140625" style="31" customWidth="1"/>
  </cols>
  <sheetData>
    <row r="1" spans="1:44" ht="15">
      <c r="A1" s="288">
        <f>NYITÓLAP!B9</f>
        <v>0</v>
      </c>
      <c r="B1" s="289"/>
      <c r="C1" s="290"/>
      <c r="D1" s="88" t="s">
        <v>71</v>
      </c>
      <c r="E1" s="89" t="s">
        <v>72</v>
      </c>
      <c r="F1" s="90" t="s">
        <v>73</v>
      </c>
      <c r="G1" s="286" t="s">
        <v>35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44" ht="17.25" thickBot="1">
      <c r="A2" s="291"/>
      <c r="B2" s="292"/>
      <c r="C2" s="293"/>
      <c r="D2" s="91" t="s">
        <v>395</v>
      </c>
      <c r="E2" s="92" t="s">
        <v>396</v>
      </c>
      <c r="F2" s="93" t="s">
        <v>397</v>
      </c>
      <c r="G2" s="287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</row>
    <row r="3" spans="1:44" ht="19.5" thickBot="1">
      <c r="A3" s="294" t="s">
        <v>201</v>
      </c>
      <c r="B3" s="295"/>
      <c r="C3" s="296"/>
      <c r="D3" s="285" t="s">
        <v>398</v>
      </c>
      <c r="E3" s="285"/>
      <c r="F3" s="285"/>
      <c r="G3" s="28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</row>
    <row r="4" spans="1:44" ht="15.75" thickBot="1">
      <c r="A4" s="284" t="s">
        <v>74</v>
      </c>
      <c r="B4" s="36" t="s">
        <v>75</v>
      </c>
      <c r="C4" s="37"/>
      <c r="D4" s="76" t="e">
        <f>SUM(D5:D8)</f>
        <v>#DIV/0!</v>
      </c>
      <c r="E4" s="76"/>
      <c r="F4" s="76"/>
      <c r="G4" s="77" t="e">
        <f>D4</f>
        <v>#DIV/0!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ht="15">
      <c r="A5" s="284"/>
      <c r="B5" s="39"/>
      <c r="C5" s="40" t="s">
        <v>78</v>
      </c>
      <c r="D5" s="78">
        <f>'1. ENERGIAFOGYASZTÁS'!L5</f>
        <v>0</v>
      </c>
      <c r="E5" s="78"/>
      <c r="F5" s="78"/>
      <c r="G5" s="81">
        <f>D5</f>
        <v>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ht="15">
      <c r="A6" s="284"/>
      <c r="B6" s="39"/>
      <c r="C6" s="35" t="s">
        <v>333</v>
      </c>
      <c r="D6" s="78">
        <f>'1. ENERGIAFOGYASZTÁS'!L15</f>
        <v>0</v>
      </c>
      <c r="E6" s="78"/>
      <c r="F6" s="78"/>
      <c r="G6" s="81">
        <f>D6</f>
        <v>0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ht="15">
      <c r="A7" s="284"/>
      <c r="B7" s="39"/>
      <c r="C7" s="35" t="s">
        <v>79</v>
      </c>
      <c r="D7" s="78">
        <f>'1. ENERGIAFOGYASZTÁS'!L26</f>
        <v>0</v>
      </c>
      <c r="E7" s="78"/>
      <c r="F7" s="78"/>
      <c r="G7" s="81">
        <f>D7</f>
        <v>0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</row>
    <row r="8" spans="1:44" ht="15.75" thickBot="1">
      <c r="A8" s="284"/>
      <c r="B8" s="41"/>
      <c r="C8" s="38" t="s">
        <v>198</v>
      </c>
      <c r="D8" s="79" t="e">
        <f>'1. ENERGIAFOGYASZTÁS'!L50</f>
        <v>#DIV/0!</v>
      </c>
      <c r="E8" s="79"/>
      <c r="F8" s="79"/>
      <c r="G8" s="82" t="e">
        <f>D8</f>
        <v>#DIV/0!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ht="15" customHeight="1" thickBot="1">
      <c r="A9" s="284"/>
      <c r="B9" s="45"/>
      <c r="C9" s="46"/>
      <c r="D9" s="80"/>
      <c r="E9" s="80"/>
      <c r="F9" s="80"/>
      <c r="G9" s="80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74" ht="15.75" thickBot="1">
      <c r="A10" s="284"/>
      <c r="B10" s="36" t="s">
        <v>251</v>
      </c>
      <c r="C10" s="37"/>
      <c r="D10" s="76">
        <f>SUM(D11:D12)</f>
        <v>0</v>
      </c>
      <c r="E10" s="76">
        <f>SUM(E11:E12)</f>
        <v>0</v>
      </c>
      <c r="F10" s="76">
        <f>SUM(F11:F12)</f>
        <v>0</v>
      </c>
      <c r="G10" s="77">
        <f>D10+E10+F10</f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1:74" ht="15">
      <c r="A11" s="284"/>
      <c r="B11" s="39"/>
      <c r="C11" s="40" t="s">
        <v>335</v>
      </c>
      <c r="D11" s="78">
        <f>'2. NAGYIPARI KIBOCSÁTÁS'!D11</f>
        <v>0</v>
      </c>
      <c r="E11" s="78">
        <f>'2. NAGYIPARI KIBOCSÁTÁS'!H11</f>
        <v>0</v>
      </c>
      <c r="F11" s="78">
        <f>'2. NAGYIPARI KIBOCSÁTÁS'!L11</f>
        <v>0</v>
      </c>
      <c r="G11" s="81">
        <f>SUM(D11:F11)</f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</row>
    <row r="12" spans="1:74" ht="15.75" thickBot="1">
      <c r="A12" s="284"/>
      <c r="B12" s="41"/>
      <c r="C12" s="38" t="s">
        <v>336</v>
      </c>
      <c r="D12" s="79">
        <f>'2. NAGYIPARI KIBOCSÁTÁS'!D35</f>
        <v>0</v>
      </c>
      <c r="E12" s="79">
        <f>'2. NAGYIPARI KIBOCSÁTÁS'!H35</f>
        <v>0</v>
      </c>
      <c r="F12" s="79">
        <f>'2. NAGYIPARI KIBOCSÁTÁS'!L35</f>
        <v>0</v>
      </c>
      <c r="G12" s="82">
        <f>SUM(D12:F12)</f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</row>
    <row r="13" spans="1:44" ht="15" customHeight="1" thickBot="1">
      <c r="A13" s="284"/>
      <c r="B13" s="45"/>
      <c r="C13" s="46"/>
      <c r="D13" s="80"/>
      <c r="E13" s="80"/>
      <c r="F13" s="80"/>
      <c r="G13" s="8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</row>
    <row r="14" spans="1:74" ht="15.75" thickBot="1">
      <c r="A14" s="284"/>
      <c r="B14" s="36" t="s">
        <v>80</v>
      </c>
      <c r="C14" s="37"/>
      <c r="D14" s="76" t="e">
        <f>SUM(D15:D17)</f>
        <v>#DIV/0!</v>
      </c>
      <c r="E14" s="76">
        <f>SUM(E15:E17)</f>
        <v>0</v>
      </c>
      <c r="F14" s="76">
        <f>SUM(F15:F17)</f>
        <v>0</v>
      </c>
      <c r="G14" s="77" t="e">
        <f>D14+E14+F14</f>
        <v>#DIV/0!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pans="1:74" ht="15">
      <c r="A15" s="284"/>
      <c r="B15" s="39"/>
      <c r="C15" s="40" t="s">
        <v>338</v>
      </c>
      <c r="D15" s="78" t="e">
        <f>'3. KÖZLEKEDÉS'!G6</f>
        <v>#DIV/0!</v>
      </c>
      <c r="E15" s="78"/>
      <c r="F15" s="78"/>
      <c r="G15" s="81" t="e">
        <f>D15+E15+F15</f>
        <v>#DIV/0!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</row>
    <row r="16" spans="1:74" ht="15">
      <c r="A16" s="284"/>
      <c r="B16" s="39"/>
      <c r="C16" s="40" t="s">
        <v>339</v>
      </c>
      <c r="D16" s="78" t="e">
        <f>'3. KÖZLEKEDÉS'!G17</f>
        <v>#DIV/0!</v>
      </c>
      <c r="E16" s="78"/>
      <c r="F16" s="78"/>
      <c r="G16" s="81" t="e">
        <f>SUM(D16:F16)</f>
        <v>#DIV/0!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</row>
    <row r="17" spans="1:74" ht="15.75" thickBot="1">
      <c r="A17" s="284"/>
      <c r="B17" s="41"/>
      <c r="C17" s="38" t="s">
        <v>340</v>
      </c>
      <c r="D17" s="79" t="e">
        <f>'3. KÖZLEKEDÉS'!G23</f>
        <v>#DIV/0!</v>
      </c>
      <c r="E17" s="79"/>
      <c r="F17" s="79"/>
      <c r="G17" s="82" t="e">
        <f>SUM(D17:F17)</f>
        <v>#DIV/0!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</row>
    <row r="18" spans="1:44" ht="15" customHeight="1" thickBot="1">
      <c r="A18" s="284"/>
      <c r="B18" s="45"/>
      <c r="C18" s="46"/>
      <c r="D18" s="80"/>
      <c r="E18" s="80"/>
      <c r="F18" s="80"/>
      <c r="G18" s="80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</row>
    <row r="19" spans="1:44" ht="15.75" thickBot="1">
      <c r="A19" s="284"/>
      <c r="B19" s="36" t="s">
        <v>81</v>
      </c>
      <c r="C19" s="37"/>
      <c r="D19" s="76"/>
      <c r="E19" s="76">
        <f>E20+E21</f>
        <v>0</v>
      </c>
      <c r="F19" s="76" t="e">
        <f>F21+F22</f>
        <v>#DIV/0!</v>
      </c>
      <c r="G19" s="77" t="e">
        <f>G20+G21+G22</f>
        <v>#DIV/0!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</row>
    <row r="20" spans="1:44" ht="15">
      <c r="A20" s="284"/>
      <c r="B20" s="39"/>
      <c r="C20" s="40" t="s">
        <v>82</v>
      </c>
      <c r="D20" s="78"/>
      <c r="E20" s="78">
        <f>'4. MEZŐGAZDASÁG'!E5</f>
        <v>0</v>
      </c>
      <c r="F20" s="78"/>
      <c r="G20" s="81">
        <f>E20</f>
        <v>0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</row>
    <row r="21" spans="1:44" ht="15">
      <c r="A21" s="284"/>
      <c r="B21" s="39"/>
      <c r="C21" s="35" t="s">
        <v>83</v>
      </c>
      <c r="D21" s="78"/>
      <c r="E21" s="78">
        <f>'4. MEZŐGAZDASÁG'!E17</f>
        <v>0</v>
      </c>
      <c r="F21" s="78">
        <f>'4. MEZŐGAZDASÁG'!I17</f>
        <v>0</v>
      </c>
      <c r="G21" s="81">
        <f>E21+F21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</row>
    <row r="22" spans="1:44" ht="15.75" thickBot="1">
      <c r="A22" s="284"/>
      <c r="B22" s="41"/>
      <c r="C22" s="38" t="s">
        <v>84</v>
      </c>
      <c r="D22" s="79"/>
      <c r="E22" s="79"/>
      <c r="F22" s="79" t="e">
        <f>'4. MEZŐGAZDASÁG'!I36</f>
        <v>#DIV/0!</v>
      </c>
      <c r="G22" s="82" t="e">
        <f>F22</f>
        <v>#DIV/0!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</row>
    <row r="23" spans="1:44" ht="15" customHeight="1" thickBot="1">
      <c r="A23" s="284"/>
      <c r="B23" s="45"/>
      <c r="C23" s="46"/>
      <c r="D23" s="80"/>
      <c r="E23" s="80"/>
      <c r="F23" s="80"/>
      <c r="G23" s="80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</row>
    <row r="24" spans="1:44" ht="15.75" thickBot="1">
      <c r="A24" s="284"/>
      <c r="B24" s="36" t="s">
        <v>85</v>
      </c>
      <c r="C24" s="37"/>
      <c r="D24" s="76"/>
      <c r="E24" s="76">
        <f>E25+E26</f>
        <v>0</v>
      </c>
      <c r="F24" s="76">
        <f>+F26</f>
        <v>0</v>
      </c>
      <c r="G24" s="77">
        <f>E24+F24</f>
        <v>0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</row>
    <row r="25" spans="1:44" ht="15">
      <c r="A25" s="32"/>
      <c r="B25" s="39"/>
      <c r="C25" s="35" t="s">
        <v>199</v>
      </c>
      <c r="D25" s="78"/>
      <c r="E25" s="78">
        <f>'5. HULLADÉK'!E5</f>
        <v>0</v>
      </c>
      <c r="F25" s="78"/>
      <c r="G25" s="81">
        <f>E25+F25</f>
        <v>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</row>
    <row r="26" spans="1:44" ht="15.75" thickBot="1">
      <c r="A26" s="32"/>
      <c r="B26" s="41"/>
      <c r="C26" s="38" t="s">
        <v>200</v>
      </c>
      <c r="D26" s="79"/>
      <c r="E26" s="79">
        <f>'5. HULLADÉK'!E14</f>
        <v>0</v>
      </c>
      <c r="F26" s="79">
        <f>'5. HULLADÉK'!I14</f>
        <v>0</v>
      </c>
      <c r="G26" s="82">
        <f>E26+F26</f>
        <v>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</row>
    <row r="27" spans="1:44" ht="15" customHeight="1" thickBot="1">
      <c r="A27" s="32"/>
      <c r="B27" s="45"/>
      <c r="C27" s="46"/>
      <c r="D27" s="80"/>
      <c r="E27" s="80"/>
      <c r="F27" s="80"/>
      <c r="G27" s="8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4" s="49" customFormat="1" ht="27" customHeight="1" thickBot="1">
      <c r="A28" s="32"/>
      <c r="B28" s="47" t="s">
        <v>87</v>
      </c>
      <c r="C28" s="48"/>
      <c r="D28" s="84" t="e">
        <f>SUM(D4,D10,D14,D19,D24)</f>
        <v>#DIV/0!</v>
      </c>
      <c r="E28" s="85">
        <f>SUM(E4,E10,E14,E19,E24)</f>
        <v>0</v>
      </c>
      <c r="F28" s="86" t="e">
        <f>SUM(F4,F10,F14,F19,F24)</f>
        <v>#DIV/0!</v>
      </c>
      <c r="G28" s="83" t="e">
        <f>SUM(G4,G10,G14,G19,G24)</f>
        <v>#DIV/0!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</row>
    <row r="29" spans="1:44" s="49" customFormat="1" ht="27" customHeight="1" thickBot="1">
      <c r="A29" s="32"/>
      <c r="B29" s="47" t="s">
        <v>248</v>
      </c>
      <c r="C29" s="48"/>
      <c r="D29" s="84" t="e">
        <f>D28-D10</f>
        <v>#DIV/0!</v>
      </c>
      <c r="E29" s="85">
        <f>E28-E10</f>
        <v>0</v>
      </c>
      <c r="F29" s="86" t="e">
        <f>F28-F10</f>
        <v>#DIV/0!</v>
      </c>
      <c r="G29" s="83" t="e">
        <f>G28-G10</f>
        <v>#DIV/0!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</row>
    <row r="30" spans="1:44" ht="15" customHeight="1" thickBot="1">
      <c r="A30" s="44"/>
      <c r="B30" s="45"/>
      <c r="C30" s="46"/>
      <c r="D30" s="80"/>
      <c r="E30" s="80"/>
      <c r="F30" s="80"/>
      <c r="G30" s="80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</row>
    <row r="31" spans="1:44" ht="15.75" thickBot="1">
      <c r="A31" s="33" t="s">
        <v>86</v>
      </c>
      <c r="B31" s="42" t="s">
        <v>212</v>
      </c>
      <c r="C31" s="43"/>
      <c r="D31" s="207">
        <f>'6. NYELŐK'!D2</f>
        <v>0</v>
      </c>
      <c r="E31" s="207"/>
      <c r="F31" s="207"/>
      <c r="G31" s="208">
        <f>D31</f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</row>
    <row r="32" spans="1:44" s="34" customFormat="1" ht="15" customHeight="1" thickBot="1">
      <c r="A32" s="46"/>
      <c r="B32" s="45"/>
      <c r="C32" s="46"/>
      <c r="D32" s="80"/>
      <c r="E32" s="80"/>
      <c r="F32" s="80"/>
      <c r="G32" s="80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</row>
    <row r="33" spans="1:44" s="49" customFormat="1" ht="27" customHeight="1" thickBot="1">
      <c r="A33" s="50"/>
      <c r="B33" s="51" t="s">
        <v>88</v>
      </c>
      <c r="C33" s="51"/>
      <c r="D33" s="84" t="e">
        <f>D28+D31</f>
        <v>#DIV/0!</v>
      </c>
      <c r="E33" s="85">
        <f>E28+E31</f>
        <v>0</v>
      </c>
      <c r="F33" s="86" t="e">
        <f>F28+F31</f>
        <v>#DIV/0!</v>
      </c>
      <c r="G33" s="87" t="e">
        <f>G28+G31</f>
        <v>#DIV/0!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</row>
    <row r="34" spans="1:44" s="49" customFormat="1" ht="27" customHeight="1" thickBot="1">
      <c r="A34" s="50"/>
      <c r="B34" s="51" t="s">
        <v>248</v>
      </c>
      <c r="C34" s="51"/>
      <c r="D34" s="84" t="e">
        <f>D33+D10</f>
        <v>#DIV/0!</v>
      </c>
      <c r="E34" s="85">
        <f>E33+E10</f>
        <v>0</v>
      </c>
      <c r="F34" s="86" t="e">
        <f>F33+F10</f>
        <v>#DIV/0!</v>
      </c>
      <c r="G34" s="87" t="e">
        <f>G33+G10</f>
        <v>#DIV/0!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</row>
    <row r="35" spans="1:44" ht="14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ht="14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</row>
    <row r="37" spans="1:37" ht="14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ht="14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ht="14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37" ht="14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ht="14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ht="14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ht="14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ht="14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1:37" ht="14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ht="14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37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1:37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1:37" ht="14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1:37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1:37" ht="14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1:37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1:37" ht="14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1:37" ht="14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7" ht="14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37" ht="14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</row>
    <row r="57" spans="1:37" ht="14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1:37" ht="14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</row>
    <row r="59" spans="1:37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</row>
    <row r="60" spans="1:37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</row>
    <row r="61" spans="1:37" ht="14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  <row r="62" spans="1:37" ht="14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1:37" ht="14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 ht="14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1:37" ht="14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</row>
    <row r="66" spans="1:37" ht="14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</row>
    <row r="67" spans="1:37" ht="14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 ht="14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</row>
    <row r="69" spans="1:37" ht="14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1:37" ht="14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</row>
    <row r="71" spans="1:37" ht="14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</row>
    <row r="72" spans="1:37" ht="14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</row>
    <row r="73" spans="1:37" ht="14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1:37" ht="14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</row>
    <row r="75" spans="1:37" ht="14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</row>
    <row r="76" spans="1:37" ht="14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1:37" ht="14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</row>
    <row r="78" spans="1:37" ht="14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</row>
    <row r="79" spans="1:37" ht="14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1:37" ht="14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1:37" ht="14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1:37" ht="14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1:37" ht="14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ht="14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37" ht="14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37" ht="14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1:37" ht="14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1:37" ht="14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1:37" ht="14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1:37" ht="14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1:37" ht="14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1:37" ht="14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1:37" ht="14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1:37" ht="14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ht="14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1:37" ht="14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:37" ht="14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:37" ht="14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1:37" ht="14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1:37" ht="14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1:37" ht="14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1:37" ht="14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7" ht="14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 ht="14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1:37" ht="14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1:37" ht="14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1:37" ht="14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1:37" ht="14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1:37" ht="14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1:37" ht="14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1:37" ht="14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1:37" ht="14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1:37" ht="14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1:37" ht="14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1:37" ht="14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1:37" ht="14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37" ht="14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1:37" ht="14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ht="14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:37" ht="14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37" ht="14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ht="14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ht="14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ht="14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ht="14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ht="14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ht="14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ht="14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ht="14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ht="14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ht="14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ht="14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t="14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ht="14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ht="14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ht="14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ht="14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 ht="14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 ht="14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 ht="14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</row>
    <row r="141" spans="1:37" ht="14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</row>
    <row r="142" spans="1:37" ht="14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 ht="14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 ht="14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7" ht="14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7" ht="14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4:37" ht="14.2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</row>
    <row r="148" spans="4:37" ht="14.2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</row>
    <row r="149" spans="4:37" ht="14.2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</row>
    <row r="150" spans="4:37" ht="14.2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4:37" ht="14.2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</row>
    <row r="152" spans="4:37" ht="14.2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</row>
    <row r="153" spans="4:37" ht="14.2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</row>
    <row r="154" spans="4:37" ht="14.2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</row>
  </sheetData>
  <sheetProtection password="FA7E" sheet="1" formatColumns="0" formatRows="0"/>
  <mergeCells count="5">
    <mergeCell ref="A4:A24"/>
    <mergeCell ref="D3:G3"/>
    <mergeCell ref="G1:G2"/>
    <mergeCell ref="A1:C2"/>
    <mergeCell ref="A3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1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124.8515625" style="7" customWidth="1"/>
  </cols>
  <sheetData>
    <row r="1" s="10" customFormat="1" ht="12.75">
      <c r="A1" s="11" t="s">
        <v>32</v>
      </c>
    </row>
    <row r="2" ht="12.75">
      <c r="A2" s="6"/>
    </row>
    <row r="3" ht="12.75">
      <c r="A3" s="6"/>
    </row>
    <row r="8" s="10" customFormat="1" ht="12.75">
      <c r="A8" s="11" t="s">
        <v>33</v>
      </c>
    </row>
    <row r="10" ht="12.75">
      <c r="A10" s="6"/>
    </row>
    <row r="15" s="10" customFormat="1" ht="12.75">
      <c r="A15" s="11" t="s">
        <v>34</v>
      </c>
    </row>
    <row r="16" ht="12.75">
      <c r="A16" s="6"/>
    </row>
    <row r="17" ht="12.75">
      <c r="A1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Klima-Buendnis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Janssen</dc:creator>
  <cp:keywords/>
  <dc:description/>
  <cp:lastModifiedBy>Eszter Dobozi</cp:lastModifiedBy>
  <cp:lastPrinted>2009-08-28T07:53:04Z</cp:lastPrinted>
  <dcterms:created xsi:type="dcterms:W3CDTF">2009-05-27T12:57:32Z</dcterms:created>
  <dcterms:modified xsi:type="dcterms:W3CDTF">2020-02-05T10:17:23Z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